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66925"/>
  <mc:AlternateContent xmlns:mc="http://schemas.openxmlformats.org/markup-compatibility/2006">
    <mc:Choice Requires="x15">
      <x15ac:absPath xmlns:x15ac="http://schemas.microsoft.com/office/spreadsheetml/2010/11/ac" url="D:\Sangita Dey\1. Content\1. Course\CFA L1\Performance Tracker\2025\Student Version\"/>
    </mc:Choice>
  </mc:AlternateContent>
  <xr:revisionPtr revIDLastSave="0" documentId="8_{B00AC964-16C6-43C9-B7D8-E06961A01B71}" xr6:coauthVersionLast="47" xr6:coauthVersionMax="47" xr10:uidLastSave="{00000000-0000-0000-0000-000000000000}"/>
  <bookViews>
    <workbookView xWindow="-120" yWindow="-120" windowWidth="29040" windowHeight="1572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Progress'!$C$2:$O$3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8" l="1"/>
  <c r="D16" i="8"/>
  <c r="F16" i="8"/>
  <c r="AL21" i="2"/>
  <c r="AL22" i="2"/>
  <c r="AL23" i="2"/>
  <c r="AL24" i="2"/>
  <c r="AL25" i="2"/>
  <c r="AL26" i="2"/>
  <c r="AL27" i="2"/>
  <c r="AL28" i="2"/>
  <c r="AL29" i="2"/>
  <c r="AL30" i="2"/>
  <c r="AL31" i="2"/>
  <c r="AL32" i="2"/>
  <c r="AL33" i="2"/>
  <c r="AL34" i="2"/>
  <c r="AL35" i="2"/>
  <c r="AL36" i="2"/>
  <c r="AL37" i="2"/>
  <c r="AL38" i="2"/>
  <c r="AL39" i="2"/>
  <c r="AL40" i="2"/>
  <c r="AL41" i="2"/>
  <c r="AL42" i="2"/>
  <c r="AL43" i="2"/>
  <c r="AL10" i="2"/>
  <c r="AL11" i="2"/>
  <c r="AL12" i="2"/>
  <c r="AL13" i="2"/>
  <c r="AL14" i="2"/>
  <c r="AL15" i="2"/>
  <c r="AL16" i="2"/>
  <c r="AL17" i="2"/>
  <c r="AL18" i="2"/>
  <c r="AL19" i="2"/>
  <c r="AL20" i="2"/>
  <c r="AL44" i="2"/>
  <c r="AL45" i="2"/>
  <c r="AL46" i="2"/>
  <c r="AL47" i="2"/>
  <c r="AL48" i="2"/>
  <c r="AL49" i="2"/>
  <c r="AL50" i="2"/>
  <c r="AL51" i="2"/>
  <c r="AL52" i="2"/>
  <c r="AL53" i="2"/>
  <c r="AL54" i="2"/>
  <c r="AL55" i="2"/>
  <c r="AL60" i="2"/>
  <c r="AL61" i="2"/>
  <c r="AL62" i="2"/>
  <c r="AL56" i="2"/>
  <c r="AL57" i="2"/>
  <c r="AL58" i="2"/>
  <c r="AL59" i="2"/>
  <c r="AL63" i="2"/>
  <c r="AL64" i="2"/>
  <c r="AL65" i="2"/>
  <c r="AL66" i="2"/>
  <c r="AL67" i="2"/>
  <c r="AL68" i="2"/>
  <c r="AL69" i="2"/>
  <c r="AL70" i="2"/>
  <c r="AL71" i="2"/>
  <c r="AL72" i="2"/>
  <c r="AL73" i="2"/>
  <c r="AL74" i="2"/>
  <c r="AL75" i="2"/>
  <c r="AL76" i="2"/>
  <c r="AL77" i="2"/>
  <c r="AL78" i="2"/>
  <c r="AL79" i="2"/>
  <c r="AL80" i="2"/>
  <c r="AL81" i="2"/>
  <c r="AL82" i="2"/>
  <c r="AL83" i="2"/>
  <c r="AL84" i="2"/>
  <c r="AL85" i="2"/>
  <c r="AL9" i="2"/>
  <c r="G58" i="2"/>
  <c r="AG58" i="2"/>
  <c r="AH58" i="2"/>
  <c r="AI58" i="2" s="1"/>
  <c r="AJ58" i="2"/>
  <c r="AK58" i="2"/>
  <c r="G59" i="2"/>
  <c r="AG59" i="2"/>
  <c r="AH59" i="2"/>
  <c r="AI59" i="2" s="1"/>
  <c r="AJ59" i="2"/>
  <c r="AK59" i="2"/>
  <c r="AG45" i="2"/>
  <c r="AH45" i="2"/>
  <c r="AI45" i="2" s="1"/>
  <c r="AJ45" i="2"/>
  <c r="AK45" i="2"/>
  <c r="G45" i="2"/>
  <c r="D33" i="5"/>
  <c r="E33" i="5"/>
  <c r="F33" i="5"/>
  <c r="R33" i="5" s="1"/>
  <c r="G33" i="5"/>
  <c r="H33" i="5"/>
  <c r="I33" i="5"/>
  <c r="T33" i="5" s="1"/>
  <c r="J33" i="5"/>
  <c r="J43" i="5" s="1"/>
  <c r="K33" i="5"/>
  <c r="K43" i="5" s="1"/>
  <c r="L33" i="5"/>
  <c r="M33" i="5"/>
  <c r="O33" i="5"/>
  <c r="Y33" i="5"/>
  <c r="M42" i="5"/>
  <c r="L42" i="5"/>
  <c r="K42" i="5"/>
  <c r="J42" i="5"/>
  <c r="I42" i="5"/>
  <c r="AD42" i="5" s="1"/>
  <c r="H42" i="5"/>
  <c r="G42" i="5"/>
  <c r="F42" i="5"/>
  <c r="M41" i="5"/>
  <c r="L41" i="5"/>
  <c r="K41" i="5"/>
  <c r="J41" i="5"/>
  <c r="I41" i="5"/>
  <c r="T41" i="5" s="1"/>
  <c r="H41" i="5"/>
  <c r="G41" i="5"/>
  <c r="F41" i="5"/>
  <c r="M40" i="5"/>
  <c r="L40" i="5"/>
  <c r="K40" i="5"/>
  <c r="J40" i="5"/>
  <c r="U40" i="5" s="1"/>
  <c r="I40" i="5"/>
  <c r="AD40" i="5" s="1"/>
  <c r="H40" i="5"/>
  <c r="G40" i="5"/>
  <c r="F40" i="5"/>
  <c r="R40" i="5" s="1"/>
  <c r="M39" i="5"/>
  <c r="L39" i="5"/>
  <c r="K39" i="5"/>
  <c r="J39" i="5"/>
  <c r="I39" i="5"/>
  <c r="AD39" i="5" s="1"/>
  <c r="H39" i="5"/>
  <c r="G39" i="5"/>
  <c r="F39" i="5"/>
  <c r="R39" i="5" s="1"/>
  <c r="M38" i="5"/>
  <c r="L38" i="5"/>
  <c r="K38" i="5"/>
  <c r="J38" i="5"/>
  <c r="U38" i="5" s="1"/>
  <c r="I38" i="5"/>
  <c r="H38" i="5"/>
  <c r="G38" i="5"/>
  <c r="F38" i="5"/>
  <c r="M37" i="5"/>
  <c r="L37" i="5"/>
  <c r="K37" i="5"/>
  <c r="J37" i="5"/>
  <c r="I37" i="5"/>
  <c r="H37" i="5"/>
  <c r="G37" i="5"/>
  <c r="F37" i="5"/>
  <c r="R37" i="5" s="1"/>
  <c r="M36" i="5"/>
  <c r="L36" i="5"/>
  <c r="K36" i="5"/>
  <c r="J36" i="5"/>
  <c r="U36" i="5" s="1"/>
  <c r="AF36" i="5" s="1"/>
  <c r="I36" i="5"/>
  <c r="H36" i="5"/>
  <c r="G36" i="5"/>
  <c r="F36" i="5"/>
  <c r="R36" i="5" s="1"/>
  <c r="M35" i="5"/>
  <c r="L35" i="5"/>
  <c r="K35" i="5"/>
  <c r="J35" i="5"/>
  <c r="U35" i="5" s="1"/>
  <c r="AF35" i="5" s="1"/>
  <c r="I35" i="5"/>
  <c r="H35" i="5"/>
  <c r="G35" i="5"/>
  <c r="F35" i="5"/>
  <c r="R35" i="5" s="1"/>
  <c r="M34" i="5"/>
  <c r="L34" i="5"/>
  <c r="K34" i="5"/>
  <c r="J34" i="5"/>
  <c r="I34" i="5"/>
  <c r="H34" i="5"/>
  <c r="G34" i="5"/>
  <c r="P34" i="5" s="1"/>
  <c r="F34" i="5"/>
  <c r="O42" i="5"/>
  <c r="Z42" i="5" s="1"/>
  <c r="O41" i="5"/>
  <c r="Z41" i="5" s="1"/>
  <c r="O40" i="5"/>
  <c r="Z40" i="5" s="1"/>
  <c r="O39" i="5"/>
  <c r="Z39" i="5" s="1"/>
  <c r="O38" i="5"/>
  <c r="O37" i="5"/>
  <c r="O36" i="5"/>
  <c r="AD36" i="5" s="1"/>
  <c r="O35" i="5"/>
  <c r="O34" i="5"/>
  <c r="T34" i="5" s="1"/>
  <c r="AD5" i="2"/>
  <c r="AC5" i="2"/>
  <c r="AB5" i="2"/>
  <c r="AA5" i="2"/>
  <c r="Z5" i="2"/>
  <c r="Y5" i="2"/>
  <c r="X5" i="2"/>
  <c r="W5" i="2"/>
  <c r="V5" i="2"/>
  <c r="AD4" i="2"/>
  <c r="AC4" i="2"/>
  <c r="AB4" i="2"/>
  <c r="AA4" i="2"/>
  <c r="Z4" i="2"/>
  <c r="Y4" i="2"/>
  <c r="X4" i="2"/>
  <c r="W4" i="2"/>
  <c r="V4" i="2"/>
  <c r="C16" i="8" s="1"/>
  <c r="E16" i="8" s="1"/>
  <c r="Y34" i="5"/>
  <c r="Y35" i="5"/>
  <c r="Y36" i="5"/>
  <c r="Y37" i="5"/>
  <c r="Y38" i="5"/>
  <c r="Y39" i="5"/>
  <c r="Y40" i="5"/>
  <c r="Y41" i="5"/>
  <c r="E37" i="5"/>
  <c r="E35" i="5"/>
  <c r="E34" i="5"/>
  <c r="D35" i="5"/>
  <c r="D36" i="5"/>
  <c r="D37" i="5"/>
  <c r="D34" i="5"/>
  <c r="G25" i="2"/>
  <c r="G18" i="2"/>
  <c r="F41" i="2" s="1"/>
  <c r="AH25" i="2"/>
  <c r="AI25" i="2" s="1"/>
  <c r="AH18" i="2"/>
  <c r="AI18" i="2" s="1"/>
  <c r="AJ25" i="2"/>
  <c r="AJ18" i="2"/>
  <c r="AK25" i="2"/>
  <c r="AK18" i="2"/>
  <c r="AG25" i="2"/>
  <c r="AG18" i="2"/>
  <c r="AG15" i="2"/>
  <c r="AG33" i="2"/>
  <c r="AG52" i="2"/>
  <c r="AG60" i="2"/>
  <c r="AG61" i="2"/>
  <c r="AG62" i="2"/>
  <c r="AG44" i="2"/>
  <c r="AG46" i="2"/>
  <c r="AG53" i="2"/>
  <c r="AG48" i="2"/>
  <c r="AG49" i="2"/>
  <c r="AG51" i="2"/>
  <c r="AG50" i="2"/>
  <c r="AG13" i="2"/>
  <c r="AG14" i="2"/>
  <c r="AG56" i="2"/>
  <c r="AG10" i="2"/>
  <c r="AG11" i="2"/>
  <c r="AG12" i="2"/>
  <c r="AG16" i="2"/>
  <c r="AG19" i="2"/>
  <c r="AG21" i="2"/>
  <c r="AG73" i="2"/>
  <c r="AG20" i="2"/>
  <c r="AG22" i="2"/>
  <c r="AG31" i="2"/>
  <c r="AG24" i="2"/>
  <c r="AG27" i="2"/>
  <c r="AG26" i="2"/>
  <c r="AG28" i="2"/>
  <c r="AG29" i="2"/>
  <c r="AG36" i="2"/>
  <c r="AG39" i="2"/>
  <c r="AG41" i="2"/>
  <c r="AG63" i="2"/>
  <c r="G15" i="2"/>
  <c r="G33" i="2"/>
  <c r="G52" i="2"/>
  <c r="G60" i="2"/>
  <c r="G61" i="2"/>
  <c r="G62" i="2"/>
  <c r="G44" i="2"/>
  <c r="G46" i="2"/>
  <c r="G53" i="2"/>
  <c r="G48" i="2"/>
  <c r="G49" i="2"/>
  <c r="G51" i="2"/>
  <c r="G50" i="2"/>
  <c r="G13" i="2"/>
  <c r="G14" i="2"/>
  <c r="G56" i="2"/>
  <c r="AH15" i="2"/>
  <c r="AI15" i="2"/>
  <c r="AH33" i="2"/>
  <c r="AI33" i="2"/>
  <c r="AH52" i="2"/>
  <c r="AI52" i="2" s="1"/>
  <c r="AH60" i="2"/>
  <c r="AI60" i="2"/>
  <c r="AH61" i="2"/>
  <c r="AI61" i="2"/>
  <c r="AH62" i="2"/>
  <c r="AI62" i="2"/>
  <c r="AH44" i="2"/>
  <c r="AI44" i="2" s="1"/>
  <c r="AH46" i="2"/>
  <c r="AI46" i="2"/>
  <c r="AH53" i="2"/>
  <c r="AI53" i="2"/>
  <c r="AH48" i="2"/>
  <c r="AI48" i="2"/>
  <c r="AH49" i="2"/>
  <c r="AI49" i="2" s="1"/>
  <c r="AH51" i="2"/>
  <c r="AI51" i="2" s="1"/>
  <c r="AH50" i="2"/>
  <c r="AI50" i="2" s="1"/>
  <c r="AH13" i="2"/>
  <c r="AI13" i="2"/>
  <c r="AH14" i="2"/>
  <c r="AI14" i="2"/>
  <c r="AH56" i="2"/>
  <c r="AI56" i="2" s="1"/>
  <c r="AJ15" i="2"/>
  <c r="AJ33" i="2"/>
  <c r="AJ52" i="2"/>
  <c r="AJ60" i="2"/>
  <c r="AJ61" i="2"/>
  <c r="AJ62" i="2"/>
  <c r="AJ44" i="2"/>
  <c r="AJ46" i="2"/>
  <c r="AJ53" i="2"/>
  <c r="AJ48" i="2"/>
  <c r="AJ49" i="2"/>
  <c r="AJ51" i="2"/>
  <c r="AJ50" i="2"/>
  <c r="AJ13" i="2"/>
  <c r="AJ14" i="2"/>
  <c r="AJ56" i="2"/>
  <c r="AK15" i="2"/>
  <c r="AK33" i="2"/>
  <c r="AK52" i="2"/>
  <c r="AK60" i="2"/>
  <c r="AK61" i="2"/>
  <c r="AK62" i="2"/>
  <c r="AK44" i="2"/>
  <c r="AK46" i="2"/>
  <c r="AK53" i="2"/>
  <c r="AK48" i="2"/>
  <c r="AK49" i="2"/>
  <c r="AK51" i="2"/>
  <c r="AK50" i="2"/>
  <c r="AK13" i="2"/>
  <c r="AK14" i="2"/>
  <c r="AK56" i="2"/>
  <c r="P33" i="5"/>
  <c r="AB33" i="5" s="1"/>
  <c r="S33" i="5"/>
  <c r="Z33" i="5"/>
  <c r="P39" i="5"/>
  <c r="AB39" i="5" s="1"/>
  <c r="P36" i="5"/>
  <c r="S37" i="5"/>
  <c r="AD35" i="5"/>
  <c r="P38" i="5"/>
  <c r="P40" i="5"/>
  <c r="AB40" i="5" s="1"/>
  <c r="P41" i="5"/>
  <c r="AB41" i="5"/>
  <c r="AD37" i="5"/>
  <c r="P35" i="5"/>
  <c r="AB35" i="5" s="1"/>
  <c r="Q35" i="5"/>
  <c r="T36" i="5"/>
  <c r="U37" i="5"/>
  <c r="AF37" i="5" s="1"/>
  <c r="P37" i="5"/>
  <c r="AB37" i="5"/>
  <c r="R38" i="5"/>
  <c r="R41" i="5"/>
  <c r="T35" i="5"/>
  <c r="R34" i="5"/>
  <c r="T37" i="5"/>
  <c r="C10" i="8"/>
  <c r="F18" i="8" s="1"/>
  <c r="F22" i="8"/>
  <c r="F21" i="8"/>
  <c r="D22" i="8"/>
  <c r="D21" i="8"/>
  <c r="D18" i="8"/>
  <c r="D17" i="8" s="1"/>
  <c r="C18" i="8"/>
  <c r="C17" i="8" s="1"/>
  <c r="T4" i="2"/>
  <c r="U74" i="2" s="1"/>
  <c r="G24" i="2"/>
  <c r="G27" i="2"/>
  <c r="G26" i="2"/>
  <c r="G41" i="2"/>
  <c r="G63" i="2"/>
  <c r="G28" i="2"/>
  <c r="G29" i="2"/>
  <c r="G64" i="2"/>
  <c r="G69" i="2"/>
  <c r="G68" i="2"/>
  <c r="G36" i="2"/>
  <c r="G39" i="2"/>
  <c r="G81" i="2"/>
  <c r="G84" i="2"/>
  <c r="G82" i="2"/>
  <c r="G83" i="2"/>
  <c r="G65" i="2"/>
  <c r="G78" i="2"/>
  <c r="G77" i="2"/>
  <c r="G85" i="2"/>
  <c r="G71" i="2"/>
  <c r="G74" i="2"/>
  <c r="G76" i="2"/>
  <c r="G35" i="2"/>
  <c r="G72" i="2"/>
  <c r="G9" i="2"/>
  <c r="G66" i="2"/>
  <c r="G70" i="2"/>
  <c r="G38" i="2"/>
  <c r="G40" i="2"/>
  <c r="G22" i="2"/>
  <c r="G30" i="2"/>
  <c r="G47" i="2"/>
  <c r="G43" i="2"/>
  <c r="G79" i="2"/>
  <c r="G37" i="2"/>
  <c r="G67" i="2"/>
  <c r="G75" i="2"/>
  <c r="G42" i="2"/>
  <c r="G31" i="2"/>
  <c r="G80" i="2"/>
  <c r="G17" i="2"/>
  <c r="G55" i="2"/>
  <c r="G57" i="2"/>
  <c r="G32" i="2"/>
  <c r="G54" i="2"/>
  <c r="G23" i="2"/>
  <c r="G34" i="2"/>
  <c r="G10" i="2"/>
  <c r="G11" i="2"/>
  <c r="G12" i="2"/>
  <c r="G16" i="2"/>
  <c r="G19" i="2"/>
  <c r="G21" i="2"/>
  <c r="G73" i="2"/>
  <c r="G20" i="2"/>
  <c r="T5" i="2"/>
  <c r="D54" i="8"/>
  <c r="AH10" i="2"/>
  <c r="AI10" i="2" s="1"/>
  <c r="AH11" i="2"/>
  <c r="AI11" i="2"/>
  <c r="AH12" i="2"/>
  <c r="AI12" i="2" s="1"/>
  <c r="AH16" i="2"/>
  <c r="AI16" i="2" s="1"/>
  <c r="AH19" i="2"/>
  <c r="AI19" i="2" s="1"/>
  <c r="AH21" i="2"/>
  <c r="AI21" i="2"/>
  <c r="AH73" i="2"/>
  <c r="AI73" i="2" s="1"/>
  <c r="AH20" i="2"/>
  <c r="AI20" i="2"/>
  <c r="AJ10" i="2"/>
  <c r="AJ11" i="2"/>
  <c r="AJ12" i="2"/>
  <c r="AJ16" i="2"/>
  <c r="AJ19" i="2"/>
  <c r="AJ21" i="2"/>
  <c r="AJ73" i="2"/>
  <c r="AJ20" i="2"/>
  <c r="AK10" i="2"/>
  <c r="AK11" i="2"/>
  <c r="AK12" i="2"/>
  <c r="AK16" i="2"/>
  <c r="AK19" i="2"/>
  <c r="AK21" i="2"/>
  <c r="AK73" i="2"/>
  <c r="AK20" i="2"/>
  <c r="AG64" i="2"/>
  <c r="AG69" i="2"/>
  <c r="AG68" i="2"/>
  <c r="AG85" i="2"/>
  <c r="AG81" i="2"/>
  <c r="AG84" i="2"/>
  <c r="AG71" i="2"/>
  <c r="AG82" i="2"/>
  <c r="AG83" i="2"/>
  <c r="AG65" i="2"/>
  <c r="AG78" i="2"/>
  <c r="AG77" i="2"/>
  <c r="AG74" i="2"/>
  <c r="AG72" i="2"/>
  <c r="AG9" i="2"/>
  <c r="AG66" i="2"/>
  <c r="AG70" i="2"/>
  <c r="AG76" i="2"/>
  <c r="AG35" i="2"/>
  <c r="AG38" i="2"/>
  <c r="AG40" i="2"/>
  <c r="AG30" i="2"/>
  <c r="AG37" i="2"/>
  <c r="AG47" i="2"/>
  <c r="AG42" i="2"/>
  <c r="AG80" i="2"/>
  <c r="AG43" i="2"/>
  <c r="AG67" i="2"/>
  <c r="AG55" i="2"/>
  <c r="AG57" i="2"/>
  <c r="AG32" i="2"/>
  <c r="AG54" i="2"/>
  <c r="AG23" i="2"/>
  <c r="AG34" i="2"/>
  <c r="AG75" i="2"/>
  <c r="AG79" i="2"/>
  <c r="AG17" i="2"/>
  <c r="AH22" i="2"/>
  <c r="AI22" i="2" s="1"/>
  <c r="AH31" i="2"/>
  <c r="AI31" i="2" s="1"/>
  <c r="AJ22" i="2"/>
  <c r="AJ31" i="2"/>
  <c r="AK22" i="2"/>
  <c r="AK31" i="2"/>
  <c r="B5" i="5"/>
  <c r="F13" i="1"/>
  <c r="C21" i="1"/>
  <c r="AK24" i="2"/>
  <c r="AK27" i="2"/>
  <c r="AK26" i="2"/>
  <c r="AK28" i="2"/>
  <c r="AK29" i="2"/>
  <c r="AK36" i="2"/>
  <c r="AK39" i="2"/>
  <c r="AK41" i="2"/>
  <c r="AK63" i="2"/>
  <c r="AK64" i="2"/>
  <c r="AK69" i="2"/>
  <c r="AK68" i="2"/>
  <c r="AK85" i="2"/>
  <c r="AK81" i="2"/>
  <c r="AK84" i="2"/>
  <c r="AK71" i="2"/>
  <c r="AK82" i="2"/>
  <c r="AK83" i="2"/>
  <c r="AK65" i="2"/>
  <c r="AK78" i="2"/>
  <c r="AK77" i="2"/>
  <c r="AK74" i="2"/>
  <c r="AK72" i="2"/>
  <c r="AK9" i="2"/>
  <c r="AK66" i="2"/>
  <c r="AK70" i="2"/>
  <c r="AK76" i="2"/>
  <c r="AK35" i="2"/>
  <c r="AK38" i="2"/>
  <c r="AK40" i="2"/>
  <c r="AK30" i="2"/>
  <c r="AK37" i="2"/>
  <c r="AK47" i="2"/>
  <c r="AK42" i="2"/>
  <c r="AK80" i="2"/>
  <c r="AK43" i="2"/>
  <c r="AK67" i="2"/>
  <c r="AK55" i="2"/>
  <c r="AK57" i="2"/>
  <c r="AK32" i="2"/>
  <c r="AK54" i="2"/>
  <c r="AK23" i="2"/>
  <c r="AK34" i="2"/>
  <c r="AK75" i="2"/>
  <c r="AK79" i="2"/>
  <c r="AK17" i="2"/>
  <c r="AJ24" i="2"/>
  <c r="AJ27" i="2"/>
  <c r="AJ26" i="2"/>
  <c r="AJ28" i="2"/>
  <c r="AJ29" i="2"/>
  <c r="AJ36" i="2"/>
  <c r="AJ39" i="2"/>
  <c r="AJ41" i="2"/>
  <c r="AJ63" i="2"/>
  <c r="AJ64" i="2"/>
  <c r="AJ69" i="2"/>
  <c r="AJ68" i="2"/>
  <c r="AJ85" i="2"/>
  <c r="AJ81" i="2"/>
  <c r="AJ84" i="2"/>
  <c r="AJ71" i="2"/>
  <c r="AJ82" i="2"/>
  <c r="AJ83" i="2"/>
  <c r="AJ65" i="2"/>
  <c r="AJ78" i="2"/>
  <c r="AJ77" i="2"/>
  <c r="AJ74" i="2"/>
  <c r="AJ72" i="2"/>
  <c r="AJ9" i="2"/>
  <c r="AJ66" i="2"/>
  <c r="AJ70" i="2"/>
  <c r="AJ76" i="2"/>
  <c r="AJ35" i="2"/>
  <c r="AJ38" i="2"/>
  <c r="AJ40" i="2"/>
  <c r="AJ30" i="2"/>
  <c r="AJ37" i="2"/>
  <c r="AJ47" i="2"/>
  <c r="AJ42" i="2"/>
  <c r="AJ80" i="2"/>
  <c r="AJ43" i="2"/>
  <c r="AJ67" i="2"/>
  <c r="AJ55" i="2"/>
  <c r="AJ57" i="2"/>
  <c r="AJ32" i="2"/>
  <c r="AJ54" i="2"/>
  <c r="AJ23" i="2"/>
  <c r="AJ34" i="2"/>
  <c r="AJ75" i="2"/>
  <c r="AJ79" i="2"/>
  <c r="AJ17" i="2"/>
  <c r="R42" i="5"/>
  <c r="E42" i="5"/>
  <c r="D42" i="5"/>
  <c r="E41" i="5"/>
  <c r="D41" i="5"/>
  <c r="E40" i="5"/>
  <c r="D40" i="5"/>
  <c r="E39" i="5"/>
  <c r="D39" i="5"/>
  <c r="E38" i="5"/>
  <c r="D38" i="5"/>
  <c r="E36" i="5"/>
  <c r="E43" i="5" s="1"/>
  <c r="M32" i="5"/>
  <c r="L32" i="5"/>
  <c r="K32" i="5"/>
  <c r="J32" i="5"/>
  <c r="I32" i="5"/>
  <c r="H32" i="5"/>
  <c r="G32" i="5"/>
  <c r="E7" i="8"/>
  <c r="K7" i="8"/>
  <c r="E4" i="8"/>
  <c r="J4" i="8" s="1"/>
  <c r="G3" i="8"/>
  <c r="E3" i="8"/>
  <c r="AH24" i="2"/>
  <c r="AI24" i="2" s="1"/>
  <c r="AH27" i="2"/>
  <c r="AI27" i="2" s="1"/>
  <c r="AH26" i="2"/>
  <c r="AI26" i="2"/>
  <c r="AH28" i="2"/>
  <c r="AI28" i="2"/>
  <c r="AH29" i="2"/>
  <c r="AI29" i="2" s="1"/>
  <c r="AH36" i="2"/>
  <c r="AI36" i="2" s="1"/>
  <c r="AH39" i="2"/>
  <c r="AI39" i="2"/>
  <c r="AH41" i="2"/>
  <c r="AI41" i="2"/>
  <c r="AH63" i="2"/>
  <c r="AI63" i="2" s="1"/>
  <c r="AH64" i="2"/>
  <c r="AI64" i="2" s="1"/>
  <c r="AH69" i="2"/>
  <c r="AI69" i="2"/>
  <c r="AH68" i="2"/>
  <c r="AI68" i="2"/>
  <c r="AH85" i="2"/>
  <c r="AI85" i="2" s="1"/>
  <c r="AH81" i="2"/>
  <c r="AI81" i="2" s="1"/>
  <c r="AH84" i="2"/>
  <c r="AI84" i="2"/>
  <c r="AH71" i="2"/>
  <c r="AI71" i="2" s="1"/>
  <c r="AH82" i="2"/>
  <c r="AI82" i="2" s="1"/>
  <c r="AH83" i="2"/>
  <c r="AI83" i="2" s="1"/>
  <c r="AH65" i="2"/>
  <c r="AI65" i="2"/>
  <c r="AH78" i="2"/>
  <c r="AI78" i="2"/>
  <c r="AH77" i="2"/>
  <c r="AI77" i="2" s="1"/>
  <c r="AH74" i="2"/>
  <c r="AI74" i="2" s="1"/>
  <c r="AH72" i="2"/>
  <c r="AI72" i="2" s="1"/>
  <c r="AH9" i="2"/>
  <c r="AI9" i="2"/>
  <c r="AH66" i="2"/>
  <c r="AI66" i="2" s="1"/>
  <c r="AH70" i="2"/>
  <c r="AI70" i="2" s="1"/>
  <c r="AH76" i="2"/>
  <c r="AI76" i="2" s="1"/>
  <c r="AH35" i="2"/>
  <c r="AI35" i="2" s="1"/>
  <c r="AH38" i="2"/>
  <c r="AI38" i="2" s="1"/>
  <c r="AH40" i="2"/>
  <c r="AI40" i="2" s="1"/>
  <c r="AH30" i="2"/>
  <c r="AI30" i="2"/>
  <c r="AH37" i="2"/>
  <c r="AI37" i="2" s="1"/>
  <c r="AH47" i="2"/>
  <c r="AI47" i="2" s="1"/>
  <c r="AH42" i="2"/>
  <c r="AI42" i="2" s="1"/>
  <c r="AH80" i="2"/>
  <c r="AI80" i="2" s="1"/>
  <c r="AH43" i="2"/>
  <c r="AI43" i="2"/>
  <c r="AH67" i="2"/>
  <c r="AI67" i="2" s="1"/>
  <c r="AH55" i="2"/>
  <c r="AI55" i="2" s="1"/>
  <c r="AH57" i="2"/>
  <c r="AI57" i="2" s="1"/>
  <c r="AH32" i="2"/>
  <c r="AI32" i="2" s="1"/>
  <c r="AH54" i="2"/>
  <c r="AI54" i="2" s="1"/>
  <c r="AH23" i="2"/>
  <c r="AI23" i="2" s="1"/>
  <c r="AH34" i="2"/>
  <c r="AI34" i="2" s="1"/>
  <c r="AH75" i="2"/>
  <c r="AI75" i="2" s="1"/>
  <c r="AH79" i="2"/>
  <c r="AI79" i="2" s="1"/>
  <c r="AH17" i="2"/>
  <c r="AI17" i="2" s="1"/>
  <c r="N43" i="5"/>
  <c r="AE2" i="2"/>
  <c r="T6" i="2"/>
  <c r="M6" i="2"/>
  <c r="S6" i="2"/>
  <c r="R6" i="2"/>
  <c r="Q6" i="2"/>
  <c r="P6" i="2"/>
  <c r="O6" i="2"/>
  <c r="N6" i="2"/>
  <c r="Y42" i="5"/>
  <c r="D65" i="8"/>
  <c r="C65" i="8" s="1"/>
  <c r="D61" i="8"/>
  <c r="C61" i="8" s="1"/>
  <c r="E61" i="8" s="1"/>
  <c r="Q33" i="5"/>
  <c r="U26" i="2"/>
  <c r="Q37" i="5"/>
  <c r="F7" i="8"/>
  <c r="I3" i="8"/>
  <c r="U55" i="2"/>
  <c r="U29" i="2"/>
  <c r="K3" i="8"/>
  <c r="U77" i="2"/>
  <c r="U12" i="2"/>
  <c r="U68" i="2"/>
  <c r="E6" i="8"/>
  <c r="F6" i="8"/>
  <c r="U80" i="2"/>
  <c r="U78" i="2"/>
  <c r="S40" i="5"/>
  <c r="T40" i="5"/>
  <c r="T38" i="5"/>
  <c r="Q38" i="5"/>
  <c r="AB38" i="5"/>
  <c r="AD38" i="5"/>
  <c r="Q41" i="5"/>
  <c r="S41" i="5"/>
  <c r="U50" i="2"/>
  <c r="F10" i="2"/>
  <c r="M43" i="5"/>
  <c r="F77" i="2"/>
  <c r="U61" i="2"/>
  <c r="U44" i="2"/>
  <c r="H43" i="5"/>
  <c r="P42" i="5"/>
  <c r="AB42" i="5"/>
  <c r="U42" i="5"/>
  <c r="AF42" i="5" s="1"/>
  <c r="V42" i="5"/>
  <c r="G16" i="8"/>
  <c r="C40" i="8"/>
  <c r="G22" i="8"/>
  <c r="F53" i="2"/>
  <c r="F13" i="2"/>
  <c r="D20" i="8"/>
  <c r="D68" i="8" s="1"/>
  <c r="F12" i="2"/>
  <c r="G21" i="8"/>
  <c r="U20" i="2"/>
  <c r="F20" i="8"/>
  <c r="C39" i="8"/>
  <c r="C41" i="8" s="1"/>
  <c r="C12" i="8"/>
  <c r="I6" i="8"/>
  <c r="J7" i="8"/>
  <c r="I7" i="8"/>
  <c r="K6" i="8"/>
  <c r="E5" i="8"/>
  <c r="H7" i="8"/>
  <c r="G7" i="8"/>
  <c r="F5" i="8"/>
  <c r="I5" i="8"/>
  <c r="K5" i="8"/>
  <c r="J6" i="8"/>
  <c r="H6" i="8"/>
  <c r="G6" i="8"/>
  <c r="AF38" i="5" l="1"/>
  <c r="V38" i="5"/>
  <c r="N40" i="5"/>
  <c r="AH40" i="5" s="1"/>
  <c r="F80" i="2"/>
  <c r="U23" i="2"/>
  <c r="U19" i="2"/>
  <c r="Q39" i="5"/>
  <c r="F65" i="2"/>
  <c r="Q40" i="5"/>
  <c r="U67" i="2"/>
  <c r="F79" i="2"/>
  <c r="T39" i="5"/>
  <c r="C3" i="8"/>
  <c r="C5" i="8" s="1"/>
  <c r="C6" i="8" s="1"/>
  <c r="U35" i="2"/>
  <c r="U33" i="5"/>
  <c r="U41" i="5"/>
  <c r="AF41" i="5" s="1"/>
  <c r="F73" i="2"/>
  <c r="F19" i="2"/>
  <c r="U48" i="2"/>
  <c r="F38" i="2"/>
  <c r="U56" i="2"/>
  <c r="C4" i="8"/>
  <c r="S39" i="5"/>
  <c r="D58" i="8"/>
  <c r="D72" i="8" s="1"/>
  <c r="C72" i="8" s="1"/>
  <c r="U54" i="2"/>
  <c r="U36" i="2"/>
  <c r="U43" i="2"/>
  <c r="U24" i="2"/>
  <c r="U17" i="2"/>
  <c r="U75" i="2"/>
  <c r="U58" i="2"/>
  <c r="AE5" i="2"/>
  <c r="AD34" i="5"/>
  <c r="V35" i="5"/>
  <c r="Z34" i="5"/>
  <c r="Z38" i="5"/>
  <c r="N41" i="5"/>
  <c r="AH41" i="5" s="1"/>
  <c r="F64" i="2"/>
  <c r="F61" i="2"/>
  <c r="U15" i="2"/>
  <c r="U31" i="2"/>
  <c r="U30" i="2"/>
  <c r="N37" i="5"/>
  <c r="AH37" i="5" s="1"/>
  <c r="F45" i="2"/>
  <c r="U5" i="2"/>
  <c r="U66" i="2"/>
  <c r="L43" i="5"/>
  <c r="F22" i="2"/>
  <c r="U62" i="2"/>
  <c r="F18" i="2"/>
  <c r="U14" i="2"/>
  <c r="U32" i="2"/>
  <c r="U9" i="2"/>
  <c r="U85" i="2"/>
  <c r="U72" i="2"/>
  <c r="F27" i="2"/>
  <c r="U22" i="2"/>
  <c r="U84" i="2"/>
  <c r="U59" i="2"/>
  <c r="D43" i="5"/>
  <c r="U52" i="2"/>
  <c r="AD41" i="5"/>
  <c r="U70" i="2"/>
  <c r="F85" i="2"/>
  <c r="U63" i="2"/>
  <c r="U79" i="2"/>
  <c r="U11" i="2"/>
  <c r="U46" i="2"/>
  <c r="U83" i="2"/>
  <c r="U82" i="2"/>
  <c r="U45" i="2"/>
  <c r="Q42" i="5"/>
  <c r="G20" i="8"/>
  <c r="F44" i="2"/>
  <c r="D51" i="8"/>
  <c r="C51" i="8" s="1"/>
  <c r="U33" i="2"/>
  <c r="F25" i="2"/>
  <c r="U13" i="2"/>
  <c r="U57" i="2"/>
  <c r="U39" i="2"/>
  <c r="U73" i="2"/>
  <c r="U76" i="2"/>
  <c r="U81" i="2"/>
  <c r="V37" i="5"/>
  <c r="U27" i="2"/>
  <c r="U37" i="2"/>
  <c r="S42" i="5"/>
  <c r="N42" i="5"/>
  <c r="AH42" i="5" s="1"/>
  <c r="F63" i="2"/>
  <c r="U34" i="2"/>
  <c r="F78" i="2"/>
  <c r="U51" i="2"/>
  <c r="U21" i="2"/>
  <c r="U41" i="2"/>
  <c r="U39" i="5"/>
  <c r="V39" i="5" s="1"/>
  <c r="U10" i="2"/>
  <c r="U34" i="5"/>
  <c r="V34" i="5" s="1"/>
  <c r="T42" i="5"/>
  <c r="U49" i="2"/>
  <c r="U53" i="2"/>
  <c r="U25" i="2"/>
  <c r="U71" i="2"/>
  <c r="U40" i="2"/>
  <c r="U28" i="2"/>
  <c r="U16" i="2"/>
  <c r="U38" i="2"/>
  <c r="U65" i="2"/>
  <c r="C47" i="8"/>
  <c r="E47" i="8" s="1"/>
  <c r="N34" i="5"/>
  <c r="AH34" i="5" s="1"/>
  <c r="V40" i="5"/>
  <c r="AF40" i="5"/>
  <c r="AF39" i="5"/>
  <c r="AF34" i="5"/>
  <c r="N33" i="5"/>
  <c r="AH33" i="5" s="1"/>
  <c r="N35" i="5"/>
  <c r="AH35" i="5" s="1"/>
  <c r="N39" i="5"/>
  <c r="AH39" i="5" s="1"/>
  <c r="AB34" i="5"/>
  <c r="Q34" i="5"/>
  <c r="N36" i="5"/>
  <c r="AH36" i="5" s="1"/>
  <c r="N38" i="5"/>
  <c r="AH38" i="5" s="1"/>
  <c r="F37" i="2"/>
  <c r="F16" i="2"/>
  <c r="F15" i="2"/>
  <c r="F71" i="2"/>
  <c r="F24" i="2"/>
  <c r="Z36" i="5"/>
  <c r="F29" i="2"/>
  <c r="D48" i="8"/>
  <c r="C48" i="8" s="1"/>
  <c r="E48" i="8" s="1"/>
  <c r="F84" i="2"/>
  <c r="F62" i="2"/>
  <c r="F51" i="2"/>
  <c r="F9" i="2"/>
  <c r="F40" i="2"/>
  <c r="F76" i="2"/>
  <c r="F47" i="2"/>
  <c r="S38" i="5"/>
  <c r="F59" i="2"/>
  <c r="AB36" i="5"/>
  <c r="F55" i="2"/>
  <c r="F43" i="2"/>
  <c r="F28" i="2"/>
  <c r="F75" i="2"/>
  <c r="V36" i="5"/>
  <c r="F58" i="2"/>
  <c r="C29" i="8"/>
  <c r="I30" i="10" s="1"/>
  <c r="F11" i="2"/>
  <c r="F48" i="2"/>
  <c r="I43" i="5"/>
  <c r="F39" i="2"/>
  <c r="D49" i="8"/>
  <c r="C49" i="8" s="1"/>
  <c r="E49" i="8" s="1"/>
  <c r="F72" i="2"/>
  <c r="F70" i="2"/>
  <c r="F33" i="2"/>
  <c r="F46" i="2"/>
  <c r="F68" i="2"/>
  <c r="F35" i="2"/>
  <c r="F34" i="2"/>
  <c r="C21" i="8"/>
  <c r="D56" i="8" s="1"/>
  <c r="F49" i="2"/>
  <c r="F60" i="2"/>
  <c r="U60" i="2"/>
  <c r="F54" i="2"/>
  <c r="F67" i="2"/>
  <c r="F23" i="2"/>
  <c r="U18" i="2"/>
  <c r="U47" i="2"/>
  <c r="U64" i="2"/>
  <c r="U69" i="2"/>
  <c r="U42" i="2"/>
  <c r="S35" i="5"/>
  <c r="Z37" i="5"/>
  <c r="F31" i="2"/>
  <c r="F17" i="2"/>
  <c r="F66" i="2"/>
  <c r="F32" i="2"/>
  <c r="F21" i="2"/>
  <c r="O43" i="5"/>
  <c r="F52" i="2"/>
  <c r="F43" i="5"/>
  <c r="G43" i="5"/>
  <c r="F42" i="2"/>
  <c r="F74" i="2"/>
  <c r="F83" i="2"/>
  <c r="F81" i="2"/>
  <c r="S34" i="5"/>
  <c r="AD33" i="5"/>
  <c r="F30" i="2"/>
  <c r="F20" i="2"/>
  <c r="F82" i="2"/>
  <c r="F14" i="2"/>
  <c r="F50" i="2"/>
  <c r="F69" i="2"/>
  <c r="F56" i="2"/>
  <c r="F26" i="2"/>
  <c r="F57" i="2"/>
  <c r="F36" i="2"/>
  <c r="Q36" i="5"/>
  <c r="S36" i="5"/>
  <c r="Z35" i="5"/>
  <c r="C11" i="8"/>
  <c r="D31" i="8"/>
  <c r="M29" i="10" s="1"/>
  <c r="F4" i="8"/>
  <c r="I4" i="8" s="1"/>
  <c r="H5" i="8" s="1"/>
  <c r="G5" i="8" s="1"/>
  <c r="D32" i="8"/>
  <c r="Q29" i="10" s="1"/>
  <c r="C22" i="8"/>
  <c r="J5" i="8"/>
  <c r="D26" i="8"/>
  <c r="K29" i="10" s="1"/>
  <c r="D19" i="8"/>
  <c r="D27" i="8"/>
  <c r="O29" i="10" s="1"/>
  <c r="C19" i="8"/>
  <c r="D29" i="8"/>
  <c r="K4" i="8"/>
  <c r="F29" i="8"/>
  <c r="F31" i="8"/>
  <c r="F17" i="8"/>
  <c r="F32" i="8"/>
  <c r="D24" i="8"/>
  <c r="C24" i="8"/>
  <c r="G30" i="10" s="1"/>
  <c r="AF33" i="5" l="1"/>
  <c r="V33" i="5"/>
  <c r="C54" i="8"/>
  <c r="E54" i="8" s="1"/>
  <c r="C58" i="8"/>
  <c r="C56" i="8"/>
  <c r="E56" i="8" s="1"/>
  <c r="V41" i="5"/>
  <c r="H4" i="8"/>
  <c r="H8" i="8" s="1"/>
  <c r="U29" i="10"/>
  <c r="S29" i="10"/>
  <c r="C20" i="8"/>
  <c r="D70" i="8" s="1"/>
  <c r="C31" i="8"/>
  <c r="M30" i="10" s="1"/>
  <c r="D50" i="8"/>
  <c r="C50" i="8" s="1"/>
  <c r="E50" i="8" s="1"/>
  <c r="D55" i="8"/>
  <c r="C55" i="8" s="1"/>
  <c r="E55" i="8" s="1"/>
  <c r="E21" i="8"/>
  <c r="D57" i="8"/>
  <c r="C57" i="8" s="1"/>
  <c r="E57" i="8" s="1"/>
  <c r="S43" i="5"/>
  <c r="C68" i="8"/>
  <c r="E68" i="8" s="1"/>
  <c r="C26" i="8"/>
  <c r="K30" i="10" s="1"/>
  <c r="D62" i="8"/>
  <c r="C62" i="8" s="1"/>
  <c r="E62" i="8" s="1"/>
  <c r="D30" i="8"/>
  <c r="C32" i="8"/>
  <c r="E32" i="8" s="1"/>
  <c r="D63" i="8"/>
  <c r="E22" i="8"/>
  <c r="C27" i="8"/>
  <c r="I29" i="10"/>
  <c r="E29" i="8"/>
  <c r="D25" i="8"/>
  <c r="G32" i="8"/>
  <c r="Q32" i="10"/>
  <c r="F26" i="8"/>
  <c r="F27" i="8"/>
  <c r="F24" i="8"/>
  <c r="F19" i="8"/>
  <c r="C8" i="8"/>
  <c r="C42" i="8"/>
  <c r="I32" i="10"/>
  <c r="G29" i="8"/>
  <c r="G29" i="10"/>
  <c r="E24" i="8"/>
  <c r="G31" i="10" s="1"/>
  <c r="M32" i="10"/>
  <c r="G31" i="8"/>
  <c r="F30" i="8"/>
  <c r="G4" i="8" l="1"/>
  <c r="E31" i="8"/>
  <c r="E20" i="8"/>
  <c r="D69" i="8"/>
  <c r="C69" i="8" s="1"/>
  <c r="E69" i="8" s="1"/>
  <c r="C25" i="8"/>
  <c r="E25" i="8" s="1"/>
  <c r="S31" i="10" s="1"/>
  <c r="E26" i="8"/>
  <c r="K31" i="10" s="1"/>
  <c r="G30" i="8"/>
  <c r="C70" i="8"/>
  <c r="E70" i="8" s="1"/>
  <c r="D71" i="8"/>
  <c r="C71" i="8" s="1"/>
  <c r="E71" i="8" s="1"/>
  <c r="E27" i="8"/>
  <c r="O31" i="10" s="1"/>
  <c r="O30" i="10"/>
  <c r="S30" i="10" s="1"/>
  <c r="C63" i="8"/>
  <c r="E63" i="8" s="1"/>
  <c r="D64" i="8"/>
  <c r="C64" i="8" s="1"/>
  <c r="E64" i="8" s="1"/>
  <c r="Q30" i="10"/>
  <c r="U30" i="10" s="1"/>
  <c r="C30" i="8"/>
  <c r="E30" i="8" s="1"/>
  <c r="C35" i="8"/>
  <c r="C36" i="8"/>
  <c r="D58" i="2"/>
  <c r="D31" i="2"/>
  <c r="D11" i="2"/>
  <c r="D36" i="2"/>
  <c r="D83" i="2"/>
  <c r="D51" i="2"/>
  <c r="D65" i="2"/>
  <c r="D12" i="2"/>
  <c r="D52" i="2"/>
  <c r="D16" i="2"/>
  <c r="D79" i="2"/>
  <c r="D47" i="2"/>
  <c r="D60" i="2"/>
  <c r="D63" i="2"/>
  <c r="D17" i="2"/>
  <c r="D49" i="2"/>
  <c r="D23" i="2"/>
  <c r="D46" i="2"/>
  <c r="D78" i="2"/>
  <c r="D26" i="2"/>
  <c r="D69" i="2"/>
  <c r="D71" i="2"/>
  <c r="D15" i="2"/>
  <c r="D22" i="2"/>
  <c r="D55" i="2"/>
  <c r="D70" i="2"/>
  <c r="D19" i="2"/>
  <c r="D30" i="2"/>
  <c r="D66" i="2"/>
  <c r="D33" i="2"/>
  <c r="D35" i="2"/>
  <c r="D56" i="2"/>
  <c r="D24" i="2"/>
  <c r="D85" i="2"/>
  <c r="D28" i="2"/>
  <c r="D80" i="2"/>
  <c r="D61" i="2"/>
  <c r="D82" i="2"/>
  <c r="D74" i="2"/>
  <c r="D29" i="2"/>
  <c r="D50" i="2"/>
  <c r="D68" i="2"/>
  <c r="D40" i="2"/>
  <c r="D21" i="2"/>
  <c r="D13" i="2"/>
  <c r="D9" i="2"/>
  <c r="D57" i="2"/>
  <c r="D32" i="2"/>
  <c r="D39" i="2"/>
  <c r="D14" i="2"/>
  <c r="D41" i="2"/>
  <c r="D54" i="2"/>
  <c r="D67" i="2"/>
  <c r="D27" i="2"/>
  <c r="D44" i="2"/>
  <c r="D45" i="2"/>
  <c r="D81" i="2"/>
  <c r="D84" i="2"/>
  <c r="D42" i="2"/>
  <c r="D38" i="2"/>
  <c r="D73" i="2"/>
  <c r="D64" i="2"/>
  <c r="D20" i="2"/>
  <c r="D53" i="2"/>
  <c r="D77" i="2"/>
  <c r="D59" i="2"/>
  <c r="D48" i="2"/>
  <c r="D62" i="2"/>
  <c r="D72" i="2"/>
  <c r="D75" i="2"/>
  <c r="D76" i="2"/>
  <c r="D18" i="2"/>
  <c r="D25" i="2"/>
  <c r="D43" i="2"/>
  <c r="D34" i="2"/>
  <c r="D37" i="2"/>
  <c r="D10" i="2"/>
  <c r="O32" i="10"/>
  <c r="G27" i="8"/>
  <c r="O33" i="10" s="1"/>
  <c r="K32" i="10"/>
  <c r="F25" i="8"/>
  <c r="G25" i="8" s="1"/>
  <c r="S33" i="10" s="1"/>
  <c r="G26" i="8"/>
  <c r="K33" i="10" s="1"/>
  <c r="G24" i="8"/>
  <c r="G33" i="10" s="1"/>
  <c r="G32" i="10"/>
  <c r="U32" i="10"/>
  <c r="S7" i="10" l="1"/>
  <c r="S32" i="10"/>
  <c r="E54" i="2"/>
  <c r="C54" i="2"/>
  <c r="C47" i="2"/>
  <c r="E47" i="2"/>
  <c r="C76" i="2"/>
  <c r="E76" i="2"/>
  <c r="C57" i="2"/>
  <c r="E57" i="2"/>
  <c r="E15" i="2"/>
  <c r="C15" i="2"/>
  <c r="C65" i="2"/>
  <c r="E65" i="2"/>
  <c r="E75" i="2"/>
  <c r="C75" i="2"/>
  <c r="E64" i="2"/>
  <c r="C64" i="2"/>
  <c r="E27" i="2"/>
  <c r="C27" i="2"/>
  <c r="C9" i="2"/>
  <c r="E9" i="2"/>
  <c r="E82" i="2"/>
  <c r="C82" i="2"/>
  <c r="C33" i="2"/>
  <c r="E33" i="2"/>
  <c r="E71" i="2"/>
  <c r="C71" i="2"/>
  <c r="E63" i="2"/>
  <c r="C63" i="2"/>
  <c r="C51" i="2"/>
  <c r="E51" i="2"/>
  <c r="C80" i="2"/>
  <c r="E80" i="2"/>
  <c r="C20" i="2"/>
  <c r="E20" i="2"/>
  <c r="E44" i="2"/>
  <c r="C44" i="2"/>
  <c r="C35" i="2"/>
  <c r="E35" i="2"/>
  <c r="C17" i="2"/>
  <c r="E17" i="2"/>
  <c r="C10" i="2"/>
  <c r="E10" i="2"/>
  <c r="C72" i="2"/>
  <c r="E72" i="2"/>
  <c r="E73" i="2"/>
  <c r="C73" i="2"/>
  <c r="C67" i="2"/>
  <c r="E67" i="2"/>
  <c r="E13" i="2"/>
  <c r="C13" i="2"/>
  <c r="C61" i="2"/>
  <c r="E61" i="2"/>
  <c r="E66" i="2"/>
  <c r="C66" i="2"/>
  <c r="C69" i="2"/>
  <c r="E69" i="2"/>
  <c r="C60" i="2"/>
  <c r="E60" i="2"/>
  <c r="C83" i="2"/>
  <c r="E83" i="2"/>
  <c r="E38" i="2"/>
  <c r="C38" i="2"/>
  <c r="E26" i="2"/>
  <c r="C26" i="2"/>
  <c r="E48" i="2"/>
  <c r="C48" i="2"/>
  <c r="C40" i="2"/>
  <c r="E40" i="2"/>
  <c r="C19" i="2"/>
  <c r="E19" i="2"/>
  <c r="E78" i="2"/>
  <c r="C78" i="2"/>
  <c r="E43" i="2"/>
  <c r="C43" i="2"/>
  <c r="C59" i="2"/>
  <c r="E59" i="2"/>
  <c r="C84" i="2"/>
  <c r="E84" i="2"/>
  <c r="E14" i="2"/>
  <c r="C14" i="2"/>
  <c r="E68" i="2"/>
  <c r="C68" i="2"/>
  <c r="C85" i="2"/>
  <c r="E85" i="2"/>
  <c r="C70" i="2"/>
  <c r="E70" i="2"/>
  <c r="C46" i="2"/>
  <c r="E46" i="2"/>
  <c r="C16" i="2"/>
  <c r="E16" i="2"/>
  <c r="C31" i="2"/>
  <c r="E31" i="2"/>
  <c r="C37" i="2"/>
  <c r="E37" i="2"/>
  <c r="E30" i="2"/>
  <c r="C30" i="2"/>
  <c r="E42" i="2"/>
  <c r="C42" i="2"/>
  <c r="C28" i="2"/>
  <c r="E28" i="2"/>
  <c r="C11" i="2"/>
  <c r="E11" i="2"/>
  <c r="C25" i="2"/>
  <c r="E25" i="2"/>
  <c r="E77" i="2"/>
  <c r="C77" i="2"/>
  <c r="C81" i="2"/>
  <c r="E81" i="2"/>
  <c r="E39" i="2"/>
  <c r="C39" i="2"/>
  <c r="C50" i="2"/>
  <c r="E50" i="2"/>
  <c r="C24" i="2"/>
  <c r="E24" i="2"/>
  <c r="C55" i="2"/>
  <c r="E55" i="2"/>
  <c r="C23" i="2"/>
  <c r="E23" i="2"/>
  <c r="C52" i="2"/>
  <c r="E52" i="2"/>
  <c r="C58" i="2"/>
  <c r="E58" i="2"/>
  <c r="C62" i="2"/>
  <c r="E62" i="2"/>
  <c r="E36" i="2"/>
  <c r="C36" i="2"/>
  <c r="E34" i="2"/>
  <c r="C34" i="2"/>
  <c r="E41" i="2"/>
  <c r="C41" i="2"/>
  <c r="E79" i="2"/>
  <c r="C79" i="2"/>
  <c r="C18" i="2"/>
  <c r="E18" i="2"/>
  <c r="C53" i="2"/>
  <c r="E53" i="2"/>
  <c r="C45" i="2"/>
  <c r="E45" i="2"/>
  <c r="C32" i="2"/>
  <c r="E32" i="2"/>
  <c r="C29" i="2"/>
  <c r="E29" i="2"/>
  <c r="C56" i="2"/>
  <c r="E56" i="2"/>
  <c r="C22" i="2"/>
  <c r="E22" i="2"/>
  <c r="C49" i="2"/>
  <c r="E49" i="2"/>
  <c r="C12" i="2"/>
  <c r="E12" i="2"/>
  <c r="E21" i="2"/>
  <c r="C21" i="2"/>
  <c r="C74" i="2"/>
  <c r="E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<sst xmlns="http://schemas.openxmlformats.org/spreadsheetml/2006/main" count="1231" uniqueCount="295">
  <si>
    <t>Candidate Name:</t>
  </si>
  <si>
    <t>Date of Exam:</t>
  </si>
  <si>
    <t>Date of Beginning Preparation:</t>
  </si>
  <si>
    <t>Subject</t>
  </si>
  <si>
    <t>Reading</t>
  </si>
  <si>
    <t>Topic</t>
  </si>
  <si>
    <t>U</t>
  </si>
  <si>
    <t>Total</t>
  </si>
  <si>
    <t>Performance Review</t>
  </si>
  <si>
    <t>Quants</t>
  </si>
  <si>
    <t>CFA L-1</t>
  </si>
  <si>
    <t>Ethics</t>
  </si>
  <si>
    <t>Ethics and Trust in the Investment Profession</t>
  </si>
  <si>
    <t>Hypothesis Testing</t>
  </si>
  <si>
    <t>Economics</t>
  </si>
  <si>
    <t>Monetary and Fiscal Policy</t>
  </si>
  <si>
    <t>International Trade and Capital Flows</t>
  </si>
  <si>
    <t>Financial Analysis Techniques</t>
  </si>
  <si>
    <t>Inventories</t>
  </si>
  <si>
    <t>Income Taxes</t>
  </si>
  <si>
    <t>Financial Reporting Quality</t>
  </si>
  <si>
    <t>Basics of Portfolio Planning and Construction</t>
  </si>
  <si>
    <t>Equity</t>
  </si>
  <si>
    <t>Market Efficiency</t>
  </si>
  <si>
    <t>Overview of Equity Securities</t>
  </si>
  <si>
    <t>Fixed Income</t>
  </si>
  <si>
    <t>Derivatives</t>
  </si>
  <si>
    <t>Total Chapters</t>
  </si>
  <si>
    <t>Order of Study</t>
  </si>
  <si>
    <t>Done</t>
  </si>
  <si>
    <t>Undone</t>
  </si>
  <si>
    <t>Syllubus(D)</t>
  </si>
  <si>
    <t>Syllubus(T)</t>
  </si>
  <si>
    <t>Practice(D)</t>
  </si>
  <si>
    <t>Practice(T)</t>
  </si>
  <si>
    <t>Practice</t>
  </si>
  <si>
    <t>Done (P)</t>
  </si>
  <si>
    <t>Undone(P)</t>
  </si>
  <si>
    <t>Undone(S)</t>
  </si>
  <si>
    <t>Lectures</t>
  </si>
  <si>
    <t>Self Study</t>
  </si>
  <si>
    <t>Institute EOC Questions</t>
  </si>
  <si>
    <t>Class Test Book</t>
  </si>
  <si>
    <t>Revision</t>
  </si>
  <si>
    <t>Institute Online Portal</t>
  </si>
  <si>
    <t>Practice Book</t>
  </si>
  <si>
    <t>Cumulative (%)</t>
  </si>
  <si>
    <t>Heading</t>
  </si>
  <si>
    <t>Particulars</t>
  </si>
  <si>
    <t>Instructions</t>
  </si>
  <si>
    <t>Duration (hh:mm)</t>
  </si>
  <si>
    <t>Total Duration</t>
  </si>
  <si>
    <t>Completed</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</si>
  <si>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</si>
  <si>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</si>
  <si>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After every subject has been completed, make sure to complete solving the questions here. It serves as a quick revision of the entire subject and improves retention. Advisable to time yourself for these and make a note of time taken and assess your time management. Although time management is not a major challenge for L-1. Priority should be accuracy, do not rush.</t>
  </si>
  <si>
    <t>The practice book provided has questions on a subject wise basis. If you have enough time left, you may practice the same. Recommended but not mandatory. The questions are of good standard.</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</si>
  <si>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Standard of these questions is not as good as that of the institute. You may still practice Ethics.</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</si>
  <si>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You may still practice Ethics.</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</si>
  <si>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</si>
  <si>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</si>
  <si>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</si>
  <si>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</si>
  <si>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</si>
  <si>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</si>
  <si>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</si>
  <si>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</si>
  <si>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</si>
  <si>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</si>
  <si>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</si>
  <si>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</si>
  <si>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</si>
  <si>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</si>
  <si>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</si>
  <si>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</si>
  <si>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</si>
  <si>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</si>
  <si>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</si>
  <si>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Schweser Practice Book 1</t>
  </si>
  <si>
    <t>Schweser Practice Book 2</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</si>
  <si>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</si>
  <si>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</si>
  <si>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</si>
  <si>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</si>
  <si>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</si>
  <si>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</si>
  <si>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</si>
  <si>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</si>
  <si>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</si>
  <si>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</si>
  <si>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</si>
  <si>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</si>
  <si>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</si>
  <si>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</si>
  <si>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</si>
  <si>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</si>
  <si>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</si>
  <si>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</si>
  <si>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</si>
  <si>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</si>
  <si>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</si>
  <si>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</si>
  <si>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</si>
  <si>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</si>
  <si>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</si>
  <si>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</si>
  <si>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</si>
  <si>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you a rough approximation of the </t>
    </r>
    <r>
      <rPr>
        <b/>
        <sz val="11"/>
        <color theme="1"/>
        <rFont val="Tw Cen MT"/>
        <family val="2"/>
      </rPr>
      <t>‘%’ of lectures completed</t>
    </r>
    <r>
      <rPr>
        <sz val="11"/>
        <color theme="1"/>
        <rFont val="Tw Cen MT"/>
        <family val="2"/>
      </rPr>
      <t xml:space="preserve">, and hence an idea of the proportion of syllabus completed. </t>
    </r>
  </si>
  <si>
    <r>
      <t>The Most important part of your preparation. You</t>
    </r>
    <r>
      <rPr>
        <b/>
        <sz val="11"/>
        <color theme="1"/>
        <rFont val="Tw Cen MT"/>
        <family val="2"/>
      </rPr>
      <t xml:space="preserve"> must 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</si>
  <si>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r>
      <t xml:space="preserve">The </t>
    </r>
    <r>
      <rPr>
        <b/>
        <sz val="11"/>
        <color theme="1"/>
        <rFont val="Tw Cen MT"/>
        <family val="2"/>
      </rPr>
      <t>End of Chapter questions is the first priority</t>
    </r>
    <r>
      <rPr>
        <sz val="11"/>
        <color theme="1"/>
        <rFont val="Tw Cen MT"/>
        <family val="2"/>
      </rPr>
      <t xml:space="preserve"> for practice. Complete this immediately after completing the chapter. Do not delay the same. Please make sure to watch the ‘How to Study and Practice’ Lecture to know exactly how to go about practice. There could be some Non-MCQ questions also, still try solving them.</t>
    </r>
  </si>
  <si>
    <r>
      <t>This is</t>
    </r>
    <r>
      <rPr>
        <b/>
        <sz val="11"/>
        <color theme="1"/>
        <rFont val="Tw Cen MT"/>
        <family val="2"/>
      </rPr>
      <t xml:space="preserve"> advisable to be done along with revision</t>
    </r>
    <r>
      <rPr>
        <sz val="11"/>
        <color theme="1"/>
        <rFont val="Tw Cen MT"/>
        <family val="2"/>
      </rPr>
      <t>. You build online reading speed as well. The level of Questions is very good. You may skip this and do only the practice book instead if you are falling short of time to do both.</t>
    </r>
  </si>
  <si>
    <t>Syllabus</t>
  </si>
  <si>
    <r>
      <t>It just gives an indication of whether the chapter is lengthy on a scale of '1' to '5', '</t>
    </r>
    <r>
      <rPr>
        <b/>
        <sz val="11"/>
        <color theme="1"/>
        <rFont val="Tw Cen MT"/>
        <family val="2"/>
      </rPr>
      <t>3' being an average chapter length.</t>
    </r>
  </si>
  <si>
    <t>Notes to Yourself</t>
  </si>
  <si>
    <t>Average</t>
  </si>
  <si>
    <t>On a scale of 1(None) to 5(completely) have highlighted if the reading has a lot of numerical, formulas, ratios, calculations, etc. This is just to give you an idea to have the right expectations before you begin the chapter.</t>
  </si>
  <si>
    <t>Lengthy</t>
  </si>
  <si>
    <t>Numerical or Not</t>
  </si>
  <si>
    <t>Diff. Level</t>
  </si>
  <si>
    <t>Imp. Level</t>
  </si>
  <si>
    <t>Reqd. Prac.</t>
  </si>
  <si>
    <t>Cum. (%)</t>
  </si>
  <si>
    <t>Prac. Book</t>
  </si>
  <si>
    <t>Inst. Online Portal</t>
  </si>
  <si>
    <t>Inst. EOC Ques.</t>
  </si>
  <si>
    <t>Schweser Prac. Bk 1</t>
  </si>
  <si>
    <t>Schweser Prac. Bk 2</t>
  </si>
  <si>
    <t>Inc. Eff. Needed</t>
  </si>
  <si>
    <r>
      <rPr>
        <b/>
        <i/>
        <sz val="16"/>
        <color rgb="FFFF0000"/>
        <rFont val="Tw Cen MT"/>
        <family val="2"/>
      </rPr>
      <t>Instructions:</t>
    </r>
    <r>
      <rPr>
        <i/>
        <sz val="14"/>
        <color rgb="FFFF0000"/>
        <rFont val="Tw Cen MT"/>
        <family val="2"/>
      </rPr>
      <t xml:space="preserve"> Choose 'D' for Done and 'U' for Undone. </t>
    </r>
  </si>
  <si>
    <t>Aggregate Output, Prices, and Economic Growth</t>
  </si>
  <si>
    <t>Capital Structure</t>
  </si>
  <si>
    <t>Security Market Indexes</t>
  </si>
  <si>
    <t>Ethics Application</t>
  </si>
  <si>
    <t>Corp. Issuers</t>
  </si>
  <si>
    <t>Changes</t>
  </si>
  <si>
    <t>Same</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</si>
  <si>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</si>
  <si>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</si>
  <si>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</si>
  <si>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</si>
  <si>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</si>
  <si>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</si>
  <si>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</si>
  <si>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</si>
  <si>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</si>
  <si>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</si>
  <si>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</si>
  <si>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</si>
  <si>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</si>
  <si>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</si>
  <si>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</si>
  <si>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</si>
  <si>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</si>
  <si>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</si>
  <si>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</si>
  <si>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</si>
  <si>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</si>
  <si>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</si>
  <si>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</si>
  <si>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</si>
  <si>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</si>
  <si>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</si>
  <si>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</si>
  <si>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</si>
  <si>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</si>
  <si>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</si>
  <si>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</si>
  <si>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</si>
  <si>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</si>
  <si>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</si>
  <si>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</si>
  <si>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</si>
  <si>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</si>
  <si>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</si>
  <si>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</si>
  <si>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</si>
  <si>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</si>
  <si>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</si>
  <si>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</si>
  <si>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</si>
  <si>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</si>
  <si>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</si>
  <si>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Details on 'what' and 'how much' to practice has been provided in details already. This is just to give an indication on a chapter-wise basis, with respect to the required practice, given how much the student is prone to error, or if there are a lot of confusing or difficult questions being tested from that chapter.
</t>
    </r>
    <r>
      <rPr>
        <b/>
        <sz val="11"/>
        <color theme="1"/>
        <rFont val="Tw Cen MT"/>
        <family val="2"/>
      </rPr>
      <t>1</t>
    </r>
    <r>
      <rPr>
        <sz val="11"/>
        <color theme="1"/>
        <rFont val="Tw Cen MT"/>
        <family val="2"/>
      </rPr>
      <t xml:space="preserve"> - Only If you have a shortage of time, you may skip the practice altogether, else do the </t>
    </r>
    <r>
      <rPr>
        <b/>
        <sz val="11"/>
        <color theme="1"/>
        <rFont val="Tw Cen MT"/>
        <family val="2"/>
      </rPr>
      <t>Institute Material EOC</t>
    </r>
    <r>
      <rPr>
        <sz val="11"/>
        <color theme="1"/>
        <rFont val="Tw Cen MT"/>
        <family val="2"/>
      </rPr>
      <t xml:space="preserve"> at least.
</t>
    </r>
    <r>
      <rPr>
        <b/>
        <sz val="11"/>
        <color theme="1"/>
        <rFont val="Tw Cen MT"/>
        <family val="2"/>
      </rPr>
      <t>2</t>
    </r>
    <r>
      <rPr>
        <sz val="11"/>
        <color theme="1"/>
        <rFont val="Tw Cen MT"/>
        <family val="2"/>
      </rPr>
      <t xml:space="preserve"> - If you are short of time, do the Institute Material EOC &amp; </t>
    </r>
    <r>
      <rPr>
        <b/>
        <sz val="11"/>
        <color theme="1"/>
        <rFont val="Tw Cen MT"/>
        <family val="2"/>
      </rPr>
      <t>Schweser EOC</t>
    </r>
    <r>
      <rPr>
        <sz val="11"/>
        <color theme="1"/>
        <rFont val="Tw Cen MT"/>
        <family val="2"/>
      </rPr>
      <t xml:space="preserve">.
</t>
    </r>
    <r>
      <rPr>
        <b/>
        <sz val="11"/>
        <color theme="1"/>
        <rFont val="Tw Cen MT"/>
        <family val="2"/>
      </rPr>
      <t>3</t>
    </r>
    <r>
      <rPr>
        <sz val="11"/>
        <color theme="1"/>
        <rFont val="Tw Cen MT"/>
        <family val="2"/>
      </rPr>
      <t xml:space="preserve"> - Do the Institute Material EOC, &amp; Schweser EOC, </t>
    </r>
    <r>
      <rPr>
        <b/>
        <sz val="11"/>
        <color theme="1"/>
        <rFont val="Tw Cen MT"/>
        <family val="2"/>
      </rPr>
      <t>Class Test Book</t>
    </r>
    <r>
      <rPr>
        <sz val="11"/>
        <color theme="1"/>
        <rFont val="Tw Cen MT"/>
        <family val="2"/>
      </rPr>
      <t xml:space="preserve">(Subject wise).
</t>
    </r>
    <r>
      <rPr>
        <b/>
        <sz val="11"/>
        <color theme="1"/>
        <rFont val="Tw Cen MT"/>
        <family val="2"/>
      </rPr>
      <t>4</t>
    </r>
    <r>
      <rPr>
        <sz val="11"/>
        <color theme="1"/>
        <rFont val="Tw Cen MT"/>
        <family val="2"/>
      </rPr>
      <t xml:space="preserve"> - Do the Institute Material EOC and Schweser EOC, Class Test Book(Subject wise), </t>
    </r>
    <r>
      <rPr>
        <b/>
        <sz val="11"/>
        <color theme="1"/>
        <rFont val="Tw Cen MT"/>
        <family val="2"/>
      </rPr>
      <t>Institute Portal online practice</t>
    </r>
    <r>
      <rPr>
        <sz val="11"/>
        <color theme="1"/>
        <rFont val="Tw Cen MT"/>
        <family val="2"/>
      </rPr>
      <t xml:space="preserve">.
</t>
    </r>
    <r>
      <rPr>
        <b/>
        <sz val="11"/>
        <color theme="1"/>
        <rFont val="Tw Cen MT"/>
        <family val="2"/>
      </rPr>
      <t>5</t>
    </r>
    <r>
      <rPr>
        <sz val="11"/>
        <color theme="1"/>
        <rFont val="Tw Cen MT"/>
        <family val="2"/>
      </rPr>
      <t xml:space="preserve">. Make sure you complete the Institute Material EOC and Schweser EOC, Class Test Book(Subject wise), Institute Portal online practice, and also the </t>
    </r>
    <r>
      <rPr>
        <b/>
        <sz val="11"/>
        <color theme="1"/>
        <rFont val="Tw Cen MT"/>
        <family val="2"/>
      </rPr>
      <t>Practice Book</t>
    </r>
    <r>
      <rPr>
        <sz val="11"/>
        <color theme="1"/>
        <rFont val="Tw Cen MT"/>
        <family val="2"/>
      </rPr>
      <t xml:space="preserve"> during Revision. Schweser Practice Papers (2 Mock books with 6 mock papers) is optional. Better to focus on Institute practice resources.</t>
    </r>
  </si>
  <si>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</si>
  <si>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</si>
  <si>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</si>
  <si>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</si>
  <si>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</si>
  <si>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</si>
  <si>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</si>
  <si>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Pricing and Valuation of Interest Rates and Other Swaps</t>
  </si>
  <si>
    <t>`</t>
  </si>
  <si>
    <t>The schedule is automatically updated with every passing day, telling you what you need to complete in the current week and the following weeks until your revision day starts based on you study hours.</t>
  </si>
  <si>
    <t>Your Name</t>
  </si>
  <si>
    <t>Working Capital and Liquidity</t>
  </si>
  <si>
    <t>Time Value of Money in Finance</t>
  </si>
  <si>
    <t>Portfolio Mathematics</t>
  </si>
  <si>
    <t>Simple Linear Regression</t>
  </si>
  <si>
    <t>Introduction to Big Data Techniques</t>
  </si>
  <si>
    <t>PR10</t>
  </si>
  <si>
    <t>Introduction to Business Cycles</t>
  </si>
  <si>
    <t>Introduction to Geopolitics</t>
  </si>
  <si>
    <t>The Behavioral Biases of Individuals</t>
  </si>
  <si>
    <t>Introduction to Risk Management</t>
  </si>
  <si>
    <t>Organizational Forms, Corporate Issuer Features, and Ownership</t>
  </si>
  <si>
    <t>Investors and Other Stakeholders</t>
  </si>
  <si>
    <t>Capital Investments and Capital Allocation</t>
  </si>
  <si>
    <t>Business Models</t>
  </si>
  <si>
    <t>Cash Flow Statements</t>
  </si>
  <si>
    <t>PR23</t>
  </si>
  <si>
    <t>Applications of Financial Statement Analysis</t>
  </si>
  <si>
    <t>Introduction to Financial Statement Modeling</t>
  </si>
  <si>
    <t>Market Organization and Structure</t>
  </si>
  <si>
    <t>Industry and Competitive Analysis</t>
  </si>
  <si>
    <t>Fixed-Income Instrument Features</t>
  </si>
  <si>
    <t>Fixed-Income Cash Flows and Types</t>
  </si>
  <si>
    <t>Fixed-Income Issuance and Trading</t>
  </si>
  <si>
    <t>Fixed-Income Markets for Corporate Issuers</t>
  </si>
  <si>
    <t>Fixed-Income Markets for Government Issuers</t>
  </si>
  <si>
    <t>Credit Risk</t>
  </si>
  <si>
    <t>Credit Analysis for Government Issuers</t>
  </si>
  <si>
    <t>Credit Analysis for Corporate Issuers</t>
  </si>
  <si>
    <t>Real Estate and Infrastructure</t>
  </si>
  <si>
    <t>Natural Resources</t>
  </si>
  <si>
    <t>Hedge Funds</t>
  </si>
  <si>
    <t>Introduction to Digital Assets</t>
  </si>
  <si>
    <t>FSA</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</si>
  <si>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</si>
  <si>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</si>
  <si>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Multiple chapters have been categorized under different subjects. It is important to understand the groupings as exam question weightages and scores are provided on a subject wise basis. You cannot leave any subject.
PR refers to Pre-requisites not testable in the exam but concepts needed to understand other topics.</t>
  </si>
  <si>
    <t>Cum. Undone hrs</t>
  </si>
  <si>
    <t>Undone hrs</t>
  </si>
  <si>
    <t>Alt. Invest.</t>
  </si>
  <si>
    <t>No. of LOS2</t>
  </si>
  <si>
    <t>12,PR8</t>
  </si>
  <si>
    <t>13,PR11</t>
  </si>
  <si>
    <t>14,15,PR12</t>
  </si>
  <si>
    <t>17,PR13</t>
  </si>
  <si>
    <t>18,19,PR14</t>
  </si>
  <si>
    <t>12,PR9</t>
  </si>
  <si>
    <t>90 to 91</t>
  </si>
  <si>
    <t>01,PR1</t>
  </si>
  <si>
    <t>03,PR2</t>
  </si>
  <si>
    <t>04,PR3</t>
  </si>
  <si>
    <t>06,PR4,PR7</t>
  </si>
  <si>
    <t>07,PR5</t>
  </si>
  <si>
    <t>08,PR6</t>
  </si>
  <si>
    <t>AI-Methods, Structures, Performance and Returns</t>
  </si>
  <si>
    <t>Investments in Private Capital-Equity and Debt</t>
  </si>
  <si>
    <t>Corporate Governance-Conflicts, Mechanisms, Risks, and Benefits</t>
  </si>
  <si>
    <t>Forwards and Futures</t>
  </si>
  <si>
    <t>Options</t>
  </si>
  <si>
    <t>Demand and Supply, Market Structures</t>
  </si>
  <si>
    <t>Currency Exchange Rate</t>
  </si>
  <si>
    <t>Market Organization and Structures</t>
  </si>
  <si>
    <t>Company Analysis-Past and Present</t>
  </si>
  <si>
    <t>Company Analysis-Forecasting</t>
  </si>
  <si>
    <t>Equity Valuation-Concepts and Basic Tools</t>
  </si>
  <si>
    <t>Ethics-Standards and Guidance</t>
  </si>
  <si>
    <t>Introduction to the Global Investment Performance Standards</t>
  </si>
  <si>
    <t>Financial Statement Reporting and Analysis</t>
  </si>
  <si>
    <t>Income Statement and Balance Sheet</t>
  </si>
  <si>
    <t>Long Lived Assets</t>
  </si>
  <si>
    <t>Non Current LongTerm Liabilities</t>
  </si>
  <si>
    <t>Fixed Income Valuation</t>
  </si>
  <si>
    <t>Fixed Income Risk and Return</t>
  </si>
  <si>
    <t>Portfolio Management-An Overview</t>
  </si>
  <si>
    <t>The Time Value of Money</t>
  </si>
  <si>
    <t>Statistical Measures</t>
  </si>
  <si>
    <t>Probability</t>
  </si>
  <si>
    <t>Probability Distributions</t>
  </si>
  <si>
    <t>Sampling, Estimation, Inference</t>
  </si>
  <si>
    <t>Parametric and Non Parametric Tests of Independence</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</si>
  <si>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 Chapters that have been taught together shows the sum of all learning outcomes in the combined chapters.</t>
    </r>
  </si>
  <si>
    <t>Fixed-Income Securitization</t>
  </si>
  <si>
    <t>Asset-Backed Security Instrument and Market Features</t>
  </si>
  <si>
    <t>Mortgage-Backed Security Instrument and Market Features</t>
  </si>
  <si>
    <t>Portfolio-1 and 2</t>
  </si>
  <si>
    <t>Yield and Yield Spread Measures for Floating-Rate Instruments</t>
  </si>
  <si>
    <t>Portfolio Risk and Return-I and II</t>
  </si>
  <si>
    <t>Study</t>
  </si>
  <si>
    <t>Sum of No. of Chapters</t>
  </si>
  <si>
    <t>83-84</t>
  </si>
  <si>
    <t>27,PR15</t>
  </si>
  <si>
    <t>28,29,PR16,PR17</t>
  </si>
  <si>
    <t>30,31,PR18</t>
  </si>
  <si>
    <t>32,PR19</t>
  </si>
  <si>
    <t>33,PR20</t>
  </si>
  <si>
    <t>34,PR22</t>
  </si>
  <si>
    <t>35,PR21</t>
  </si>
  <si>
    <t>52,53,55</t>
  </si>
  <si>
    <t>56 to 59</t>
  </si>
  <si>
    <t>66 to 71</t>
  </si>
  <si>
    <t>73 to 75</t>
  </si>
  <si>
    <t>76,77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</si>
</sst>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9">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
      <sz val="10"/>
      <color rgb="FF000000"/>
      <name val="Times New Roman"/>
      <family val="1"/>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8">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xf numFmtId="0" fontId="77" fillId="0" borderId="0"/>
    <xf numFmtId="0" fontId="1" fillId="0" borderId="0"/>
    <xf numFmtId="0" fontId="78" fillId="0" borderId="0"/>
  </cellStyleXfs>
  <cellXfs count="328">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17" fontId="3" fillId="0" borderId="6"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9" xfId="0" applyFont="1" applyFill="1" applyBorder="1" applyAlignment="1">
      <alignment vertical="center"/>
    </xf>
    <xf numFmtId="0" fontId="61" fillId="3" borderId="9"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4"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6"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3"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169" fontId="0" fillId="0" borderId="2" xfId="0" applyNumberFormat="1" applyBorder="1" applyAlignment="1">
      <alignment horizontal="center" vertical="center" wrapText="1"/>
    </xf>
    <xf numFmtId="0" fontId="48" fillId="3" borderId="6"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48" fillId="3" borderId="41" xfId="0" applyFont="1" applyFill="1" applyBorder="1" applyAlignment="1">
      <alignment horizontal="center" vertical="center" wrapText="1"/>
    </xf>
    <xf numFmtId="0" fontId="60" fillId="7" borderId="10" xfId="0" applyFont="1" applyFill="1" applyBorder="1" applyAlignment="1">
      <alignment horizontal="center" vertical="center" wrapText="1"/>
    </xf>
    <xf numFmtId="0" fontId="3" fillId="0" borderId="0" xfId="0" applyFont="1" applyAlignment="1">
      <alignment horizontal="center" vertical="center"/>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6"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15" borderId="16" xfId="0" applyFont="1" applyFill="1" applyBorder="1" applyAlignment="1">
      <alignment horizontal="center" vertical="center" wrapText="1"/>
    </xf>
    <xf numFmtId="0" fontId="19" fillId="0" borderId="22" xfId="0" applyFont="1" applyBorder="1"/>
    <xf numFmtId="165" fontId="3" fillId="0" borderId="22" xfId="0" applyNumberFormat="1" applyFont="1" applyBorder="1" applyAlignment="1">
      <alignment horizontal="center" vertical="center" wrapText="1"/>
    </xf>
    <xf numFmtId="165" fontId="10" fillId="0" borderId="22" xfId="0" applyNumberFormat="1" applyFont="1" applyBorder="1" applyAlignment="1">
      <alignment horizontal="center" vertical="center" wrapText="1"/>
    </xf>
    <xf numFmtId="164" fontId="3" fillId="0" borderId="22" xfId="0" applyNumberFormat="1" applyFont="1" applyBorder="1" applyAlignment="1">
      <alignment horizontal="center"/>
    </xf>
    <xf numFmtId="173" fontId="3" fillId="0" borderId="22" xfId="0" applyNumberFormat="1" applyFont="1" applyBorder="1" applyAlignment="1">
      <alignment horizontal="center"/>
    </xf>
    <xf numFmtId="164" fontId="10" fillId="0" borderId="22" xfId="0" applyNumberFormat="1" applyFont="1" applyBorder="1" applyAlignment="1">
      <alignment horizontal="center"/>
    </xf>
    <xf numFmtId="0" fontId="18" fillId="12" borderId="22" xfId="0" applyFont="1" applyFill="1" applyBorder="1"/>
    <xf numFmtId="165" fontId="21" fillId="12" borderId="22" xfId="0" applyNumberFormat="1" applyFont="1" applyFill="1" applyBorder="1" applyAlignment="1">
      <alignment horizontal="center" vertical="center" wrapText="1"/>
    </xf>
    <xf numFmtId="164" fontId="18" fillId="12" borderId="22" xfId="0" applyNumberFormat="1" applyFont="1" applyFill="1" applyBorder="1" applyAlignment="1">
      <alignment horizontal="center"/>
    </xf>
    <xf numFmtId="173" fontId="18" fillId="12" borderId="22"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5" fillId="3" borderId="6" xfId="0" applyFont="1" applyFill="1" applyBorder="1" applyAlignment="1">
      <alignment horizontal="center" vertical="center" wrapText="1"/>
    </xf>
    <xf numFmtId="20" fontId="26" fillId="0" borderId="2" xfId="0" applyNumberFormat="1" applyFont="1" applyBorder="1" applyAlignment="1">
      <alignment horizontal="center" vertical="center" wrapText="1"/>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6" xfId="0" applyFont="1" applyFill="1" applyBorder="1"/>
    <xf numFmtId="0" fontId="63" fillId="22" borderId="41" xfId="0" applyFont="1" applyFill="1" applyBorder="1" applyAlignment="1">
      <alignment vertical="center"/>
    </xf>
    <xf numFmtId="14" fontId="62" fillId="3" borderId="41"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1"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2" xfId="0" quotePrefix="1" applyFont="1" applyFill="1" applyBorder="1"/>
    <xf numFmtId="0" fontId="3" fillId="16" borderId="30" xfId="0" applyFont="1" applyFill="1" applyBorder="1"/>
    <xf numFmtId="0" fontId="53" fillId="23" borderId="31"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1" xfId="0" applyFont="1" applyFill="1" applyBorder="1" applyAlignment="1">
      <alignment horizontal="center" vertical="center" wrapText="1"/>
    </xf>
    <xf numFmtId="0" fontId="68" fillId="16" borderId="30"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9" xfId="0" applyNumberFormat="1" applyFont="1" applyBorder="1" applyAlignment="1">
      <alignment horizontal="center"/>
    </xf>
    <xf numFmtId="172" fontId="3" fillId="16" borderId="0" xfId="0" applyNumberFormat="1" applyFont="1" applyFill="1"/>
    <xf numFmtId="172" fontId="3" fillId="0" borderId="38" xfId="0" applyNumberFormat="1" applyFont="1" applyBorder="1" applyAlignment="1">
      <alignment horizontal="center"/>
    </xf>
    <xf numFmtId="172" fontId="3" fillId="16" borderId="0" xfId="0" applyNumberFormat="1" applyFont="1" applyFill="1" applyAlignment="1">
      <alignment wrapText="1"/>
    </xf>
    <xf numFmtId="165" fontId="3" fillId="0" borderId="38" xfId="0" applyNumberFormat="1" applyFont="1" applyBorder="1" applyAlignment="1">
      <alignment horizontal="center"/>
    </xf>
    <xf numFmtId="172" fontId="3" fillId="16" borderId="18"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9" xfId="0" applyNumberFormat="1" applyFont="1" applyBorder="1" applyAlignment="1">
      <alignment horizontal="center"/>
    </xf>
    <xf numFmtId="172" fontId="3" fillId="0" borderId="39" xfId="0" applyNumberFormat="1" applyFont="1" applyBorder="1" applyAlignment="1">
      <alignment horizontal="center" vertical="top" wrapText="1"/>
    </xf>
    <xf numFmtId="172" fontId="3" fillId="0" borderId="18" xfId="0" applyNumberFormat="1" applyFont="1" applyBorder="1" applyAlignment="1">
      <alignment horizontal="center" vertical="top" wrapText="1"/>
    </xf>
    <xf numFmtId="165" fontId="3" fillId="0" borderId="17" xfId="0" applyNumberFormat="1" applyFont="1" applyBorder="1" applyAlignment="1">
      <alignment horizontal="center" vertical="top" wrapText="1"/>
    </xf>
    <xf numFmtId="172" fontId="3" fillId="16" borderId="19" xfId="0" applyNumberFormat="1" applyFont="1" applyFill="1" applyBorder="1"/>
    <xf numFmtId="172" fontId="53" fillId="16" borderId="18" xfId="0" applyNumberFormat="1" applyFont="1" applyFill="1" applyBorder="1"/>
    <xf numFmtId="172" fontId="52" fillId="16" borderId="0" xfId="0" applyNumberFormat="1" applyFont="1" applyFill="1" applyAlignment="1">
      <alignment horizontal="center" vertical="center" wrapText="1"/>
    </xf>
    <xf numFmtId="0" fontId="3" fillId="16" borderId="42" xfId="0" applyFont="1" applyFill="1" applyBorder="1"/>
    <xf numFmtId="0" fontId="54" fillId="16" borderId="18" xfId="0" quotePrefix="1" applyFont="1" applyFill="1" applyBorder="1" applyAlignment="1">
      <alignment horizontal="left" indent="1"/>
    </xf>
    <xf numFmtId="172" fontId="3" fillId="0" borderId="17" xfId="0" applyNumberFormat="1" applyFont="1" applyBorder="1" applyAlignment="1">
      <alignment horizontal="center" vertical="center"/>
    </xf>
    <xf numFmtId="172" fontId="3" fillId="16" borderId="43" xfId="0" applyNumberFormat="1" applyFont="1" applyFill="1" applyBorder="1" applyAlignment="1">
      <alignment horizontal="center" vertical="center"/>
    </xf>
    <xf numFmtId="165" fontId="3" fillId="0" borderId="18" xfId="0" applyNumberFormat="1" applyFont="1" applyBorder="1" applyAlignment="1">
      <alignment horizontal="center" vertical="center"/>
    </xf>
    <xf numFmtId="172" fontId="54" fillId="16" borderId="18"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3" fillId="0" borderId="0" xfId="0" applyFont="1" applyAlignment="1">
      <alignment vertical="center"/>
    </xf>
    <xf numFmtId="0" fontId="24" fillId="21" borderId="0" xfId="0" applyFont="1" applyFill="1" applyAlignment="1">
      <alignment horizontal="center" vertical="center" wrapText="1"/>
    </xf>
    <xf numFmtId="0" fontId="38" fillId="16" borderId="0" xfId="0" applyFont="1" applyFill="1" applyAlignment="1">
      <alignment horizontal="center" wrapText="1"/>
    </xf>
    <xf numFmtId="0" fontId="3" fillId="4" borderId="3" xfId="0" applyFont="1" applyFill="1" applyBorder="1" applyAlignment="1">
      <alignment horizontal="center" vertical="center" wrapText="1"/>
    </xf>
    <xf numFmtId="0" fontId="76" fillId="16" borderId="9" xfId="0" applyFont="1" applyFill="1" applyBorder="1" applyAlignment="1">
      <alignment horizontal="center" vertical="center"/>
    </xf>
    <xf numFmtId="0" fontId="3" fillId="24" borderId="9"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60" fillId="7" borderId="10" xfId="0" applyFont="1" applyFill="1" applyBorder="1" applyAlignment="1">
      <alignment horizontal="center" vertical="center" wrapText="1"/>
    </xf>
    <xf numFmtId="0" fontId="57" fillId="16" borderId="0" xfId="4" applyFont="1" applyFill="1" applyAlignment="1" applyProtection="1">
      <alignment horizontal="center" vertical="center"/>
    </xf>
    <xf numFmtId="0" fontId="6" fillId="21" borderId="0" xfId="0" applyFont="1" applyFill="1" applyAlignment="1">
      <alignment horizontal="center" vertical="center"/>
    </xf>
    <xf numFmtId="0" fontId="36" fillId="24" borderId="9" xfId="4" applyFont="1" applyFill="1" applyBorder="1" applyAlignment="1">
      <alignment horizontal="left" vertical="center" wrapText="1" indent="1"/>
    </xf>
    <xf numFmtId="0" fontId="36" fillId="24" borderId="12" xfId="4" applyFont="1" applyFill="1" applyBorder="1" applyAlignment="1">
      <alignment horizontal="left" vertical="center" wrapText="1" indent="1"/>
    </xf>
    <xf numFmtId="0" fontId="3" fillId="24" borderId="0" xfId="0" applyFont="1" applyFill="1" applyAlignment="1">
      <alignment horizontal="left" vertical="center" wrapText="1" indent="1"/>
    </xf>
    <xf numFmtId="0" fontId="3" fillId="24" borderId="15" xfId="0" applyFont="1" applyFill="1" applyBorder="1" applyAlignment="1">
      <alignment horizontal="left" vertical="center" wrapText="1" indent="1"/>
    </xf>
    <xf numFmtId="0" fontId="73" fillId="21" borderId="0" xfId="0" applyFont="1" applyFill="1" applyAlignment="1">
      <alignment horizontal="left" vertical="center"/>
    </xf>
    <xf numFmtId="0" fontId="73" fillId="21" borderId="0" xfId="0" applyFont="1" applyFill="1" applyAlignment="1">
      <alignment horizontal="center" vertical="center"/>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1" xfId="0" applyFont="1" applyFill="1" applyBorder="1" applyAlignment="1">
      <alignment horizontal="center" vertical="center" wrapText="1"/>
    </xf>
    <xf numFmtId="0" fontId="64" fillId="21" borderId="21" xfId="0" applyFont="1" applyFill="1" applyBorder="1" applyAlignment="1">
      <alignment horizontal="center" vertical="center" wrapText="1"/>
    </xf>
    <xf numFmtId="0" fontId="64" fillId="21" borderId="16" xfId="0" applyFont="1" applyFill="1" applyBorder="1" applyAlignment="1">
      <alignment horizontal="center" vertical="center" wrapText="1"/>
    </xf>
    <xf numFmtId="0" fontId="23" fillId="21" borderId="21" xfId="0" applyFont="1" applyFill="1" applyBorder="1" applyAlignment="1">
      <alignment horizontal="center" vertical="center" wrapText="1"/>
    </xf>
    <xf numFmtId="0" fontId="23" fillId="21" borderId="16"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14" borderId="21" xfId="0" applyFont="1" applyFill="1" applyBorder="1" applyAlignment="1">
      <alignment horizontal="center" vertical="center" wrapText="1"/>
    </xf>
    <xf numFmtId="0" fontId="74" fillId="16" borderId="0" xfId="0" applyFont="1" applyFill="1" applyAlignment="1">
      <alignment horizontal="left" vertical="center" wrapText="1" indent="2"/>
    </xf>
    <xf numFmtId="9" fontId="3" fillId="0" borderId="44" xfId="0" applyNumberFormat="1" applyFont="1" applyBorder="1" applyAlignment="1">
      <alignment horizontal="center" vertical="center" wrapText="1"/>
    </xf>
    <xf numFmtId="9" fontId="3" fillId="0" borderId="40" xfId="0" applyNumberFormat="1" applyFont="1" applyBorder="1" applyAlignment="1">
      <alignment horizontal="center" vertical="center" wrapText="1"/>
    </xf>
    <xf numFmtId="9" fontId="3" fillId="0" borderId="45"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20"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9" fontId="66" fillId="0" borderId="37"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20"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20"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67" fillId="16" borderId="0" xfId="0" applyFont="1" applyFill="1" applyAlignment="1">
      <alignment horizontal="center" wrapText="1"/>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8">
    <cellStyle name="20% - Accent1" xfId="1" builtinId="30"/>
    <cellStyle name="Hyperlink" xfId="4" builtinId="8"/>
    <cellStyle name="Normal" xfId="0" builtinId="0"/>
    <cellStyle name="Normal 2" xfId="2" xr:uid="{00000000-0005-0000-0000-000002000000}"/>
    <cellStyle name="Normal 3" xfId="5" xr:uid="{0583AEDC-99D2-4EB8-ADF9-00D9C1907766}"/>
    <cellStyle name="Normal 3 2" xfId="6" xr:uid="{FEE42EFA-A329-42B8-BCF1-127B0D58D119}"/>
    <cellStyle name="Normal 4" xfId="7" xr:uid="{40A98C0D-33CF-488B-AB08-8EDDC0D2FD06}"/>
    <cellStyle name="Percent" xfId="3" builtinId="5"/>
  </cellStyles>
  <dxfs count="124">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23"/>
    </tableStyle>
    <tableStyle name="Slicer Style 1" pivot="0" table="0" count="1" xr9:uid="{F57D6513-AC47-4077-9F8D-C40FD9A6BFDA}">
      <tableStyleElement type="wholeTable" dxfId="122"/>
    </tableStyle>
    <tableStyle name="Slicer Style 2" pivot="0" table="0" count="1" xr9:uid="{01BD0BB3-5670-42DB-97C2-63B1C6D3857D}">
      <tableStyleElement type="wholeTable" dxfId="121"/>
    </tableStyle>
    <tableStyle name="Slicer Style 3" pivot="0" table="0" count="1" xr9:uid="{93557E10-2300-44AC-8EEB-27707F876CC7}">
      <tableStyleElement type="headerRow" dxfId="120"/>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Progress'!$AA$32</c:f>
              <c:strCache>
                <c:ptCount val="1"/>
                <c:pt idx="0">
                  <c:v>Syllubus(T)</c:v>
                </c:pt>
              </c:strCache>
            </c:strRef>
          </c:tx>
          <c:spPr>
            <a:solidFill>
              <a:schemeClr val="bg2">
                <a:lumMod val="90000"/>
              </a:schemeClr>
            </a:solidFill>
            <a:ln>
              <a:noFill/>
            </a:ln>
            <a:effectLst/>
          </c:spPr>
          <c:invertIfNegative val="0"/>
          <c:dLbls>
            <c:dLbl>
              <c:idx val="0"/>
              <c:tx>
                <c:rich>
                  <a:bodyPr/>
                  <a:lstStyle/>
                  <a:p>
                    <a:fld id="{5058B25C-2C07-48C6-8672-654C187C579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C634A6E0-5342-4729-BDEE-DE4B29B087A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F3EC8A0F-0FE2-496C-BF6A-C92BC7CB3D4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82CD855D-8E56-4F04-8E11-E5E6582E51C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53825A4F-3947-420B-8F30-07AF4C9CDD4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6DA954D7-E006-48BD-B14C-0936727D00D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dLbl>
              <c:idx val="6"/>
              <c:tx>
                <c:rich>
                  <a:bodyPr/>
                  <a:lstStyle/>
                  <a:p>
                    <a:fld id="{C68118F6-7218-46B5-9647-94649454DE0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EE-422A-8173-85E89CCAC774}"/>
                </c:ext>
              </c:extLst>
            </c:dLbl>
            <c:dLbl>
              <c:idx val="7"/>
              <c:tx>
                <c:rich>
                  <a:bodyPr/>
                  <a:lstStyle/>
                  <a:p>
                    <a:fld id="{3D951516-1BFC-43B9-9C2A-65749DADEAA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EE-422A-8173-85E89CCAC774}"/>
                </c:ext>
              </c:extLst>
            </c:dLbl>
            <c:dLbl>
              <c:idx val="8"/>
              <c:tx>
                <c:rich>
                  <a:bodyPr/>
                  <a:lstStyle/>
                  <a:p>
                    <a:fld id="{B2882A3F-00AD-4122-B3E7-421196F711A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EE-422A-8173-85E89CCAC774}"/>
                </c:ext>
              </c:extLst>
            </c:dLbl>
            <c:dLbl>
              <c:idx val="9"/>
              <c:tx>
                <c:rich>
                  <a:bodyPr/>
                  <a:lstStyle/>
                  <a:p>
                    <a:fld id="{6F8D2178-0497-427E-BBA4-2351FF9E087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Progress'!$AA$33:$AA$42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Progress'!$S$33:$S$42</c15:f>
                <c15:dlblRangeCache>
                  <c:ptCount val="10"/>
                  <c:pt idx="0">
                    <c:v>18</c:v>
                  </c:pt>
                  <c:pt idx="1">
                    <c:v>15</c:v>
                  </c:pt>
                  <c:pt idx="2">
                    <c:v>21</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0A-54EE-422A-8173-85E89CCAC774}"/>
            </c:ext>
          </c:extLst>
        </c:ser>
        <c:ser>
          <c:idx val="3"/>
          <c:order val="3"/>
          <c:tx>
            <c:strRef>
              <c:f>'📊 Progress'!$AC$32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A01A0076-E11F-435D-957E-DB33AC42A47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5E17B561-F5EF-4B2C-AB85-BF410BE34B7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DFE78300-F3DE-49D4-93B0-39A4EEB74D2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0855AD18-6A03-4362-B38A-2562B939B5A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E8617AB8-B450-40AB-B088-251DF543C7E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10CFB270-2799-424B-878C-7A777F97B59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dLbl>
              <c:idx val="6"/>
              <c:tx>
                <c:rich>
                  <a:bodyPr/>
                  <a:lstStyle/>
                  <a:p>
                    <a:fld id="{4A392EF9-8439-4646-AD0B-7B81D108018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EE-422A-8173-85E89CCAC774}"/>
                </c:ext>
              </c:extLst>
            </c:dLbl>
            <c:dLbl>
              <c:idx val="7"/>
              <c:tx>
                <c:rich>
                  <a:bodyPr/>
                  <a:lstStyle/>
                  <a:p>
                    <a:fld id="{37B21E30-98D8-434D-A9D2-DB52361E092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EE-422A-8173-85E89CCAC774}"/>
                </c:ext>
              </c:extLst>
            </c:dLbl>
            <c:dLbl>
              <c:idx val="8"/>
              <c:tx>
                <c:rich>
                  <a:bodyPr/>
                  <a:lstStyle/>
                  <a:p>
                    <a:fld id="{EF835268-E0B0-4600-A40D-FB45CF76295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EE-422A-8173-85E89CCAC774}"/>
                </c:ext>
              </c:extLst>
            </c:dLbl>
            <c:dLbl>
              <c:idx val="9"/>
              <c:tx>
                <c:rich>
                  <a:bodyPr/>
                  <a:lstStyle/>
                  <a:p>
                    <a:fld id="{DFDF28AE-16DE-4CB6-9065-51043D4EE48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Progress'!$AC$33:$AC$42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Progress'!$Q$33:$Q$42</c15:f>
                <c15:dlblRangeCache>
                  <c:ptCount val="10"/>
                  <c:pt idx="0">
                    <c:v>18</c:v>
                  </c:pt>
                  <c:pt idx="1">
                    <c:v>15</c:v>
                  </c:pt>
                  <c:pt idx="2">
                    <c:v>21</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15-54EE-422A-8173-85E89CCAC774}"/>
            </c:ext>
          </c:extLst>
        </c:ser>
        <c:ser>
          <c:idx val="5"/>
          <c:order val="5"/>
          <c:tx>
            <c:strRef>
              <c:f>'📊 Progress'!$AE$32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45C2B26A-2973-4E04-9B96-C4FB2B455AFD}"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137F5020-11BB-4C4A-ACBC-BA807D471B4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8672F3A9-A90B-4552-9BAC-81ADDCD388C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DECE6578-D81E-44FD-8E8E-181C0E0CFA4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D77F57DF-353E-43BA-B7B4-2D634C37EAD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7B9D4ED3-6931-463D-A2C8-A51242A77A3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dLbl>
              <c:idx val="6"/>
              <c:tx>
                <c:rich>
                  <a:bodyPr/>
                  <a:lstStyle/>
                  <a:p>
                    <a:fld id="{550A964C-326E-45BC-A96D-A3B78FC4082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EE-422A-8173-85E89CCAC774}"/>
                </c:ext>
              </c:extLst>
            </c:dLbl>
            <c:dLbl>
              <c:idx val="7"/>
              <c:tx>
                <c:rich>
                  <a:bodyPr/>
                  <a:lstStyle/>
                  <a:p>
                    <a:fld id="{C07126EB-8032-4E23-9D57-E7099C58EF9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EE-422A-8173-85E89CCAC774}"/>
                </c:ext>
              </c:extLst>
            </c:dLbl>
            <c:dLbl>
              <c:idx val="8"/>
              <c:tx>
                <c:rich>
                  <a:bodyPr/>
                  <a:lstStyle/>
                  <a:p>
                    <a:fld id="{189DD0EF-E219-47C0-A180-B9463BFB395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EE-422A-8173-85E89CCAC774}"/>
                </c:ext>
              </c:extLst>
            </c:dLbl>
            <c:dLbl>
              <c:idx val="9"/>
              <c:tx>
                <c:rich>
                  <a:bodyPr/>
                  <a:lstStyle/>
                  <a:p>
                    <a:fld id="{177899A3-DA6D-4B22-A5EA-CD056502E52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Progress'!$AE$33:$AE$42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Progress'!$O$33:$O$42</c15:f>
                <c15:dlblRangeCache>
                  <c:ptCount val="10"/>
                  <c:pt idx="0">
                    <c:v>18</c:v>
                  </c:pt>
                  <c:pt idx="1">
                    <c:v>15</c:v>
                  </c:pt>
                  <c:pt idx="2">
                    <c:v>21</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20-54EE-422A-8173-85E89CCAC774}"/>
            </c:ext>
          </c:extLst>
        </c:ser>
        <c:ser>
          <c:idx val="7"/>
          <c:order val="7"/>
          <c:tx>
            <c:strRef>
              <c:f>'📊 Progress'!$AG$32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98EA2303-DAD7-4AE1-9712-DB492BF1CCE3}"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0DDF169A-4463-44C1-A384-3A394E3CEC2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48538B0E-936F-4B18-9AD2-14ACAF490B4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36BC1FF2-B1CE-45AA-A99D-F86D032935E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01B1B749-4462-4110-9795-517CA2B0201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0D4AC537-4A28-49B3-8BEE-5F88435E48C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dLbl>
              <c:idx val="6"/>
              <c:tx>
                <c:rich>
                  <a:bodyPr/>
                  <a:lstStyle/>
                  <a:p>
                    <a:fld id="{A88F4E09-0304-490B-AABE-0A8952DA0FA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EE-422A-8173-85E89CCAC774}"/>
                </c:ext>
              </c:extLst>
            </c:dLbl>
            <c:dLbl>
              <c:idx val="7"/>
              <c:tx>
                <c:rich>
                  <a:bodyPr/>
                  <a:lstStyle/>
                  <a:p>
                    <a:fld id="{0B3834F7-2CCA-4A09-AC24-A2E0924EBA3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4EE-422A-8173-85E89CCAC774}"/>
                </c:ext>
              </c:extLst>
            </c:dLbl>
            <c:dLbl>
              <c:idx val="8"/>
              <c:tx>
                <c:rich>
                  <a:bodyPr/>
                  <a:lstStyle/>
                  <a:p>
                    <a:fld id="{7AA5E624-B5B8-4767-A88A-5049C0D8A77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4EE-422A-8173-85E89CCAC774}"/>
                </c:ext>
              </c:extLst>
            </c:dLbl>
            <c:dLbl>
              <c:idx val="9"/>
              <c:tx>
                <c:rich>
                  <a:bodyPr/>
                  <a:lstStyle/>
                  <a:p>
                    <a:fld id="{9198413A-655A-409D-9C22-3B3F6AAF141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Progress'!$AG$33:$AG$42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Progress'!$V$33:$V$42</c15:f>
                <c15:dlblRangeCache>
                  <c:ptCount val="10"/>
                  <c:pt idx="0">
                    <c:v>18</c:v>
                  </c:pt>
                  <c:pt idx="1">
                    <c:v>15</c:v>
                  </c:pt>
                  <c:pt idx="2">
                    <c:v>21</c:v>
                  </c:pt>
                  <c:pt idx="3">
                    <c:v>7</c:v>
                  </c:pt>
                  <c:pt idx="4">
                    <c:v>8</c:v>
                  </c:pt>
                  <c:pt idx="5">
                    <c:v>19</c:v>
                  </c:pt>
                  <c:pt idx="6">
                    <c:v>10</c:v>
                  </c:pt>
                  <c:pt idx="7">
                    <c:v>7</c:v>
                  </c:pt>
                  <c:pt idx="8">
                    <c:v>6</c:v>
                  </c:pt>
                  <c:pt idx="9">
                    <c:v>5</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Progress'!$Z$32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FE0FB95C-AC1D-451B-9503-CF2E1B316F2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0019AAEB-82BB-415D-A8B2-F8B3EB4883E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F58DE518-FF9E-4E2C-A878-4CD988556D3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25FD86D7-E07F-4B5B-B0B6-A9EF34C792D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D6353933-4697-4EBC-B6F9-3807FFA495D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65AB7F4D-B90F-4773-A3F0-49544C01FF0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54EE-422A-8173-85E89CCAC774}"/>
                </c:ext>
              </c:extLst>
            </c:dLbl>
            <c:dLbl>
              <c:idx val="6"/>
              <c:tx>
                <c:rich>
                  <a:bodyPr/>
                  <a:lstStyle/>
                  <a:p>
                    <a:fld id="{C9F929B2-FD82-49E2-A9C3-7EE37E9050F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2-54EE-422A-8173-85E89CCAC774}"/>
                </c:ext>
              </c:extLst>
            </c:dLbl>
            <c:dLbl>
              <c:idx val="7"/>
              <c:tx>
                <c:rich>
                  <a:bodyPr/>
                  <a:lstStyle/>
                  <a:p>
                    <a:fld id="{38F542E3-11BE-4DCB-8CF3-374040D8397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4EE-422A-8173-85E89CCAC774}"/>
                </c:ext>
              </c:extLst>
            </c:dLbl>
            <c:dLbl>
              <c:idx val="8"/>
              <c:tx>
                <c:rich>
                  <a:bodyPr/>
                  <a:lstStyle/>
                  <a:p>
                    <a:fld id="{CDB31B24-B74D-4BA0-AD58-F62BD30F3ED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54EE-422A-8173-85E89CCAC774}"/>
                </c:ext>
              </c:extLst>
            </c:dLbl>
            <c:dLbl>
              <c:idx val="9"/>
              <c:tx>
                <c:rich>
                  <a:bodyPr/>
                  <a:lstStyle/>
                  <a:p>
                    <a:fld id="{0E5C3467-EE96-4D6F-BE69-2761D5AADAF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Progress'!$Z$33:$Z$42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Progress'!$R$33:$R$42</c15:f>
                <c15:dlblRangeCache>
                  <c:ptCount val="10"/>
                </c15:dlblRangeCache>
              </c15:datalabelsRange>
            </c:ext>
            <c:ext xmlns:c16="http://schemas.microsoft.com/office/drawing/2014/chart" uri="{C3380CC4-5D6E-409C-BE32-E72D297353CC}">
              <c16:uniqueId val="{00000036-54EE-422A-8173-85E89CCAC774}"/>
            </c:ext>
          </c:extLst>
        </c:ser>
        <c:ser>
          <c:idx val="2"/>
          <c:order val="2"/>
          <c:tx>
            <c:strRef>
              <c:f>'📊 Progress'!$AB$32</c:f>
              <c:strCache>
                <c:ptCount val="1"/>
                <c:pt idx="0">
                  <c:v>Practice(D)</c:v>
                </c:pt>
              </c:strCache>
            </c:strRef>
          </c:tx>
          <c:spPr>
            <a:solidFill>
              <a:srgbClr val="EC7524"/>
            </a:solidFill>
            <a:ln>
              <a:noFill/>
            </a:ln>
            <a:effectLst/>
          </c:spPr>
          <c:invertIfNegative val="0"/>
          <c:dLbls>
            <c:dLbl>
              <c:idx val="0"/>
              <c:tx>
                <c:rich>
                  <a:bodyPr/>
                  <a:lstStyle/>
                  <a:p>
                    <a:fld id="{17A42A30-B27B-4BC6-8149-6F903174B5C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7D59C1B7-8371-48C0-9C6F-4A2953A27D0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CBD84AA5-4C9D-4DCB-A11D-F90BBA3114D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AF51DFD7-6840-4C50-A3C2-1F1FCF3058D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BBAA6B9D-EE7D-460D-99E3-95CFC55A3DE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0B176946-C4F1-4757-879D-8BE80898B2D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dLbl>
              <c:idx val="6"/>
              <c:tx>
                <c:rich>
                  <a:bodyPr/>
                  <a:lstStyle/>
                  <a:p>
                    <a:fld id="{13C198A0-2242-46B2-9A65-613A08BE3CE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54EE-422A-8173-85E89CCAC774}"/>
                </c:ext>
              </c:extLst>
            </c:dLbl>
            <c:dLbl>
              <c:idx val="7"/>
              <c:tx>
                <c:rich>
                  <a:bodyPr/>
                  <a:lstStyle/>
                  <a:p>
                    <a:fld id="{76391424-7159-49B3-892A-8D342B07E2F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54EE-422A-8173-85E89CCAC774}"/>
                </c:ext>
              </c:extLst>
            </c:dLbl>
            <c:dLbl>
              <c:idx val="8"/>
              <c:tx>
                <c:rich>
                  <a:bodyPr/>
                  <a:lstStyle/>
                  <a:p>
                    <a:fld id="{40B38110-FE2B-41AD-829A-0DF3CF9F9B4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54EE-422A-8173-85E89CCAC774}"/>
                </c:ext>
              </c:extLst>
            </c:dLbl>
            <c:dLbl>
              <c:idx val="9"/>
              <c:tx>
                <c:rich>
                  <a:bodyPr/>
                  <a:lstStyle/>
                  <a:p>
                    <a:fld id="{5168F9B4-B350-4821-92AC-09743D9F206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Progress'!$AB$33:$AB$42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Progress'!$P$33:$P$42</c15:f>
                <c15:dlblRangeCache>
                  <c:ptCount val="10"/>
                </c15:dlblRangeCache>
              </c15:datalabelsRange>
            </c:ext>
            <c:ext xmlns:c16="http://schemas.microsoft.com/office/drawing/2014/chart" uri="{C3380CC4-5D6E-409C-BE32-E72D297353CC}">
              <c16:uniqueId val="{00000041-54EE-422A-8173-85E89CCAC774}"/>
            </c:ext>
          </c:extLst>
        </c:ser>
        <c:ser>
          <c:idx val="4"/>
          <c:order val="4"/>
          <c:tx>
            <c:strRef>
              <c:f>'📊 Progress'!$AD$32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BD62334D-79FE-494E-AC42-B94DB1D04C6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204435EF-1AC0-47F3-B0F6-F84ED29E154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1CEE9DF4-7399-4335-A036-3BDC2792956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E92EA31A-AD0E-47BE-BBB5-F1E5A07376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B468E66E-998A-421F-B5E0-96C33738A98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03A88A4E-49DE-4C8D-9A67-7D42B85E7C5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dLbl>
              <c:idx val="6"/>
              <c:tx>
                <c:rich>
                  <a:bodyPr/>
                  <a:lstStyle/>
                  <a:p>
                    <a:fld id="{B981D917-E76C-4EB9-BBB3-8FAA3EF65B7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54EE-422A-8173-85E89CCAC774}"/>
                </c:ext>
              </c:extLst>
            </c:dLbl>
            <c:dLbl>
              <c:idx val="7"/>
              <c:tx>
                <c:rich>
                  <a:bodyPr/>
                  <a:lstStyle/>
                  <a:p>
                    <a:fld id="{CD785946-96F5-4CC6-A197-A7D78338902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54EE-422A-8173-85E89CCAC774}"/>
                </c:ext>
              </c:extLst>
            </c:dLbl>
            <c:dLbl>
              <c:idx val="8"/>
              <c:tx>
                <c:rich>
                  <a:bodyPr/>
                  <a:lstStyle/>
                  <a:p>
                    <a:fld id="{D532D262-C294-46A1-A305-270F5271CFF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54EE-422A-8173-85E89CCAC774}"/>
                </c:ext>
              </c:extLst>
            </c:dLbl>
            <c:dLbl>
              <c:idx val="9"/>
              <c:tx>
                <c:rich>
                  <a:bodyPr/>
                  <a:lstStyle/>
                  <a:p>
                    <a:fld id="{F6BE0FF5-5FF4-4144-A830-875642BF5AD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Progress'!$AD$33:$AD$42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Progress'!$I$33:$I$42</c15:f>
                <c15:dlblRangeCache>
                  <c:ptCount val="10"/>
                </c15:dlblRangeCache>
              </c15:datalabelsRange>
            </c:ext>
            <c:ext xmlns:c16="http://schemas.microsoft.com/office/drawing/2014/chart" uri="{C3380CC4-5D6E-409C-BE32-E72D297353CC}">
              <c16:uniqueId val="{0000004C-54EE-422A-8173-85E89CCAC774}"/>
            </c:ext>
          </c:extLst>
        </c:ser>
        <c:ser>
          <c:idx val="6"/>
          <c:order val="6"/>
          <c:tx>
            <c:strRef>
              <c:f>'📊 Progress'!$AF$32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07407730-E84B-4BA8-87EF-FF0F3CB0446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A6B21CEE-0E00-4691-A9F4-9696AA0B24D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A1ABF757-0B6F-4760-9369-3CA31A11C7C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7A75DB35-BF6B-405F-A54B-C5FCB300778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8802A6D1-4E08-47EE-93D7-33C52B6565F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A481BAEA-96F7-4F64-A33B-68DBC633865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dLbl>
              <c:idx val="6"/>
              <c:tx>
                <c:rich>
                  <a:bodyPr/>
                  <a:lstStyle/>
                  <a:p>
                    <a:fld id="{2C433DB5-6FB3-4EBF-9E3C-85EAF697E3A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54EE-422A-8173-85E89CCAC774}"/>
                </c:ext>
              </c:extLst>
            </c:dLbl>
            <c:dLbl>
              <c:idx val="7"/>
              <c:tx>
                <c:rich>
                  <a:bodyPr/>
                  <a:lstStyle/>
                  <a:p>
                    <a:fld id="{5E0AF509-73CA-476B-BA8F-578531AC9B5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54EE-422A-8173-85E89CCAC774}"/>
                </c:ext>
              </c:extLst>
            </c:dLbl>
            <c:dLbl>
              <c:idx val="8"/>
              <c:tx>
                <c:rich>
                  <a:bodyPr/>
                  <a:lstStyle/>
                  <a:p>
                    <a:fld id="{E9D40AEA-0E00-4ACB-979B-2594C60549D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54EE-422A-8173-85E89CCAC774}"/>
                </c:ext>
              </c:extLst>
            </c:dLbl>
            <c:dLbl>
              <c:idx val="9"/>
              <c:tx>
                <c:rich>
                  <a:bodyPr/>
                  <a:lstStyle/>
                  <a:p>
                    <a:fld id="{819FE77F-D382-4DC3-BC3D-CE6126DA185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Progress'!$AF$33:$AF$42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Progress'!$U$33:$U$42</c15:f>
                <c15:dlblRangeCache>
                  <c:ptCount val="10"/>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Progress'!$AH$32</c:f>
              <c:strCache>
                <c:ptCount val="1"/>
                <c:pt idx="0">
                  <c:v>Confidence</c:v>
                </c:pt>
              </c:strCache>
            </c:strRef>
          </c:tx>
          <c:spPr>
            <a:ln w="57150" cap="rnd">
              <a:solidFill>
                <a:schemeClr val="bg1"/>
              </a:solidFill>
              <a:round/>
            </a:ln>
            <a:effectLst/>
          </c:spPr>
          <c:marker>
            <c:symbol val="none"/>
          </c:marker>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Progress'!$AH$33:$AH$42</c:f>
              <c:numCache>
                <c:formatCode>0%</c:formatCode>
                <c:ptCount val="10"/>
                <c:pt idx="0">
                  <c:v>0.49545454545454543</c:v>
                </c:pt>
                <c:pt idx="1">
                  <c:v>0.53103448275862064</c:v>
                </c:pt>
                <c:pt idx="2">
                  <c:v>0.455813953488372</c:v>
                </c:pt>
                <c:pt idx="3">
                  <c:v>0.44545454545454549</c:v>
                </c:pt>
                <c:pt idx="4">
                  <c:v>0.47096774193548391</c:v>
                </c:pt>
                <c:pt idx="5">
                  <c:v>0.51372549019607838</c:v>
                </c:pt>
                <c:pt idx="6">
                  <c:v>0.46666666666666662</c:v>
                </c:pt>
                <c:pt idx="7">
                  <c:v>0.43333333333333329</c:v>
                </c:pt>
                <c:pt idx="8">
                  <c:v>0.52</c:v>
                </c:pt>
                <c:pt idx="9">
                  <c:v>0.51666666666666672</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346128796298E-2"/>
          <c:y val="3.9146025784766225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Progress'!$B$33:$B$42</c:f>
              <c:numCache>
                <c:formatCode>0.0;\-0.0;;@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4.2262552659900775E-2"/>
                  <c:y val="5.4350234403786467E-2"/>
                </c:manualLayout>
              </c:layout>
              <c:tx>
                <c:rich>
                  <a:bodyPr/>
                  <a:lstStyle/>
                  <a:p>
                    <a:fld id="{8EA038E9-73AC-4954-A777-060D9BE43C5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tx>
                <c:rich>
                  <a:bodyPr/>
                  <a:lstStyle/>
                  <a:p>
                    <a:fld id="{2618635C-648D-4CA2-BE59-ABD64848D809}"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77-4FB0-9F37-13FB91287652}"/>
                </c:ext>
              </c:extLst>
            </c:dLbl>
            <c:dLbl>
              <c:idx val="2"/>
              <c:layout>
                <c:manualLayout>
                  <c:x val="-0.11098872379014552"/>
                  <c:y val="0.11720191952750092"/>
                </c:manualLayout>
              </c:layout>
              <c:tx>
                <c:rich>
                  <a:bodyPr/>
                  <a:lstStyle/>
                  <a:p>
                    <a:fld id="{7E613D8A-7410-44EB-9F85-4C83B25CE71F}"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1.5809351132704708E-3"/>
                  <c:y val="-5.2607354904036455E-3"/>
                </c:manualLayout>
              </c:layout>
              <c:tx>
                <c:rich>
                  <a:bodyPr/>
                  <a:lstStyle/>
                  <a:p>
                    <a:fld id="{C05040EB-D86F-430D-A8FA-5CE844CE99F8}"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dLbl>
              <c:idx val="4"/>
              <c:tx>
                <c:rich>
                  <a:bodyPr/>
                  <a:lstStyle/>
                  <a:p>
                    <a:fld id="{5B15EE3C-B217-4477-A675-6841DAEB35FC}"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77-4FB0-9F37-13FB91287652}"/>
                </c:ext>
              </c:extLst>
            </c:dLbl>
            <c:dLbl>
              <c:idx val="5"/>
              <c:layout>
                <c:manualLayout>
                  <c:x val="-2.4946372591635856E-2"/>
                  <c:y val="5.3191881069636855E-2"/>
                </c:manualLayout>
              </c:layout>
              <c:tx>
                <c:rich>
                  <a:bodyPr/>
                  <a:lstStyle/>
                  <a:p>
                    <a:fld id="{EF3E5B4F-E2D2-4DE9-8447-BD22215F1D44}"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77-4FB0-9F37-13FB91287652}"/>
                </c:ext>
              </c:extLst>
            </c:dLbl>
            <c:dLbl>
              <c:idx val="6"/>
              <c:tx>
                <c:rich>
                  <a:bodyPr/>
                  <a:lstStyle/>
                  <a:p>
                    <a:fld id="{256BE179-2C52-4F70-990E-948F0C2C253A}"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77-4FB0-9F37-13FB91287652}"/>
                </c:ext>
              </c:extLst>
            </c:dLbl>
            <c:dLbl>
              <c:idx val="7"/>
              <c:layout>
                <c:manualLayout>
                  <c:x val="-1.6987029382419416E-2"/>
                  <c:y val="-4.8873751553366832E-2"/>
                </c:manualLayout>
              </c:layout>
              <c:tx>
                <c:rich>
                  <a:bodyPr/>
                  <a:lstStyle/>
                  <a:p>
                    <a:fld id="{BD4EACA4-C704-4C29-868A-E64D83F7A92C}"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8.9674270818752479E-3"/>
                  <c:y val="0.1815285601938787"/>
                </c:manualLayout>
              </c:layout>
              <c:tx>
                <c:rich>
                  <a:bodyPr/>
                  <a:lstStyle/>
                  <a:p>
                    <a:fld id="{DAD9345D-13E2-4C9B-949A-9F535B4B0A1C}"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dLbl>
              <c:idx val="9"/>
              <c:layout>
                <c:manualLayout>
                  <c:x val="-0.14058118934625663"/>
                  <c:y val="8.5125725382839343E-3"/>
                </c:manualLayout>
              </c:layout>
              <c:tx>
                <c:rich>
                  <a:bodyPr/>
                  <a:lstStyle/>
                  <a:p>
                    <a:fld id="{6B651B97-B050-422D-B3E7-311F55A94164}"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strCache>
            </c:strRef>
          </c:cat>
          <c:val>
            <c:numRef>
              <c:f>'📊 Progress'!$N$33:$N$42</c:f>
              <c:numCache>
                <c:formatCode>0.0;\-0.0;;@</c:formatCode>
                <c:ptCount val="10"/>
                <c:pt idx="0">
                  <c:v>2.4772727272727271</c:v>
                </c:pt>
                <c:pt idx="1">
                  <c:v>2.6551724137931032</c:v>
                </c:pt>
                <c:pt idx="2">
                  <c:v>2.2790697674418601</c:v>
                </c:pt>
                <c:pt idx="3">
                  <c:v>2.2272727272727275</c:v>
                </c:pt>
                <c:pt idx="4">
                  <c:v>2.3548387096774195</c:v>
                </c:pt>
                <c:pt idx="5">
                  <c:v>2.5686274509803919</c:v>
                </c:pt>
                <c:pt idx="6">
                  <c:v>2.333333333333333</c:v>
                </c:pt>
                <c:pt idx="7">
                  <c:v>2.1666666666666665</c:v>
                </c:pt>
                <c:pt idx="8">
                  <c:v>2.6</c:v>
                </c:pt>
                <c:pt idx="9">
                  <c:v>2.5833333333333335</c:v>
                </c:pt>
              </c:numCache>
            </c:numRef>
          </c:val>
          <c:smooth val="0"/>
          <c:extLst>
            <c:ext xmlns:c15="http://schemas.microsoft.com/office/drawing/2012/chart" uri="{02D57815-91ED-43cb-92C2-25804820EDAC}">
              <c15:datalabelsRange>
                <c15:f>'📊 Progress'!$C$33:$C$42</c15:f>
                <c15:dlblRangeCache>
                  <c:ptCount val="10"/>
                  <c:pt idx="0">
                    <c:v>Quants</c:v>
                  </c:pt>
                  <c:pt idx="1">
                    <c:v>Economics</c:v>
                  </c:pt>
                  <c:pt idx="2">
                    <c:v>FSA</c:v>
                  </c:pt>
                  <c:pt idx="3">
                    <c:v>Corp. Issuers</c:v>
                  </c:pt>
                  <c:pt idx="4">
                    <c:v>Equity</c:v>
                  </c:pt>
                  <c:pt idx="5">
                    <c:v>Fixed Income</c:v>
                  </c:pt>
                  <c:pt idx="6">
                    <c:v>Derivatives</c:v>
                  </c:pt>
                  <c:pt idx="7">
                    <c:v>Alt. Invest.</c:v>
                  </c:pt>
                  <c:pt idx="8">
                    <c:v>Portfolio-1 and 2</c:v>
                  </c:pt>
                  <c:pt idx="9">
                    <c:v>Ethics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C06DB1C3-59B3-4364-87BA-42AF74DD1950}"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0.82595870206489674</c:v>
                </c:pt>
              </c:numCache>
            </c:numRef>
          </c:val>
          <c:extLst>
            <c:ext xmlns:c15="http://schemas.microsoft.com/office/drawing/2012/chart" uri="{02D57815-91ED-43cb-92C2-25804820EDAC}">
              <c15:datalabelsRange>
                <c15:f>Working!$J$4</c15:f>
                <c15:dlblRangeCache>
                  <c:ptCount val="1"/>
                  <c:pt idx="0">
                    <c:v>561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B7602A6E-92E3-4A8C-A825-0E593636B986}"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0.13421828908554578</c:v>
                </c:pt>
              </c:numCache>
            </c:numRef>
          </c:val>
          <c:extLst>
            <c:ext xmlns:c15="http://schemas.microsoft.com/office/drawing/2012/chart" uri="{02D57815-91ED-43cb-92C2-25804820EDAC}">
              <c15:datalabelsRange>
                <c15:f>Working!$J$5</c15:f>
                <c15:dlblRangeCache>
                  <c:ptCount val="1"/>
                  <c:pt idx="0">
                    <c:v>91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7.3746312684365156E-3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DAF18BAB-D16F-40DD-AE28-854DD42D403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3.0973451327433676E-2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8E06A876-50E8-40D4-B440-0062AE1F1ABC}"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1.4749262536873156E-3</c:v>
                </c:pt>
              </c:numCache>
            </c:numRef>
          </c:val>
          <c:extLst>
            <c:ext xmlns:c15="http://schemas.microsoft.com/office/drawing/2012/chart" uri="{02D57815-91ED-43cb-92C2-25804820EDAC}">
              <c15:datalabelsRange>
                <c15:f>Working!$K$3</c15:f>
                <c15:dlblRangeCache>
                  <c:ptCount val="1"/>
                  <c:pt idx="0">
                    <c:v>Start 
11-Jan-23</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A38EEB77-C759-4AC1-963D-FE0115748CB6}"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0.82743362831858402</c:v>
                </c:pt>
              </c:numCache>
            </c:numRef>
          </c:val>
          <c:extLst>
            <c:ext xmlns:c15="http://schemas.microsoft.com/office/drawing/2012/chart" uri="{02D57815-91ED-43cb-92C2-25804820EDAC}">
              <c15:datalabelsRange>
                <c15:f>Working!$K$4</c15:f>
                <c15:dlblRangeCache>
                  <c:ptCount val="1"/>
                  <c:pt idx="0">
                    <c:v>Today 25-Jul-24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0.96165191740412981</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0.96902654867256632</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19-Nov-24</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33418215-0584-420D-A2C6-34570265C0C9}"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683C697E-13B1-4888-89FE-221EBA5C020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D5BF92D4-E0DE-4265-873C-DEA86A7584B2}"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D9FAC576-6AA4-4B4A-991B-FA6BD2D97FA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0.86042944785276065</c:v>
                </c:pt>
                <c:pt idx="3">
                  <c:v>0.13957055214723932</c:v>
                </c:pt>
              </c:numCache>
            </c:numRef>
          </c:val>
          <c:extLst>
            <c:ext xmlns:c15="http://schemas.microsoft.com/office/drawing/2012/chart" uri="{02D57815-91ED-43cb-92C2-25804820EDAC}">
              <c15:datalabelsRange>
                <c15:f>Working!$E$47:$E$50</c15:f>
                <c15:dlblRangeCache>
                  <c:ptCount val="4"/>
                  <c:pt idx="2">
                    <c:v>Extra Undone, 100</c:v>
                  </c:pt>
                  <c:pt idx="3">
                    <c:v>Undone, 16</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[CFA Level 1 Performance Tracker '25.xlsx]Working!PivotTable1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2">
              <a:lumMod val="90000"/>
            </a:schemeClr>
          </a:solidFill>
          <a:ln w="19050">
            <a:solidFill>
              <a:schemeClr val="tx1">
                <a:lumMod val="50000"/>
                <a:lumOff val="50000"/>
              </a:schemeClr>
            </a:solidFill>
          </a:ln>
          <a:effectLst/>
        </c:spPr>
      </c:pivotFmt>
      <c:pivotFmt>
        <c:idx val="8"/>
        <c:spPr>
          <a:solidFill>
            <a:schemeClr val="accent2"/>
          </a:solidFill>
          <a:ln w="19050">
            <a:solidFill>
              <a:schemeClr val="bg1">
                <a:lumMod val="6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85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ln>
              <a:solidFill>
                <a:schemeClr val="bg1">
                  <a:lumMod val="65000"/>
                </a:schemeClr>
              </a:solidFill>
            </a:ln>
          </c:spPr>
          <c:dPt>
            <c:idx val="0"/>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accent2">
                  <a:tint val="30000"/>
                </a:schemeClr>
              </a:solidFill>
              <a:ln w="19050">
                <a:solidFill>
                  <a:schemeClr val="bg1">
                    <a:lumMod val="65000"/>
                  </a:schemeClr>
                </a:solid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116</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[CFA Level 1 Performance Tracker '25.xlsx]Working!PivotTable2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6">
              <a:lumMod val="60000"/>
              <a:lumOff val="40000"/>
            </a:schemeClr>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20000"/>
              <a:lumOff val="80000"/>
            </a:schemeClr>
          </a:solidFill>
          <a:ln w="19050">
            <a:solidFill>
              <a:schemeClr val="accent6">
                <a:lumMod val="60000"/>
                <a:lumOff val="40000"/>
              </a:schemeClr>
            </a:solidFill>
          </a:ln>
          <a:effectLst/>
        </c:spPr>
      </c:pivotFmt>
      <c:pivotFmt>
        <c:idx val="10"/>
        <c:spPr>
          <a:solidFill>
            <a:schemeClr val="accent6">
              <a:lumMod val="60000"/>
              <a:lumOff val="4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solidFill>
              <a:schemeClr val="accent6">
                <a:lumMod val="60000"/>
                <a:lumOff val="40000"/>
              </a:schemeClr>
            </a:solidFill>
            <a:ln>
              <a:solidFill>
                <a:schemeClr val="accent6">
                  <a:lumMod val="60000"/>
                  <a:lumOff val="40000"/>
                </a:schemeClr>
              </a:solid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4791-4F05-9C83-FBE0DD0AA5E5}"/>
              </c:ext>
            </c:extLst>
          </c:dPt>
          <c:dPt>
            <c:idx val="1"/>
            <c:bubble3D val="0"/>
            <c:spPr>
              <a:solidFill>
                <a:schemeClr val="accent6">
                  <a:lumMod val="60000"/>
                  <a:lumOff val="40000"/>
                </a:schemeClr>
              </a:solidFill>
              <a:ln w="19050">
                <a:solidFill>
                  <a:schemeClr val="accent6">
                    <a:lumMod val="60000"/>
                    <a:lumOff val="40000"/>
                  </a:schemeClr>
                </a:solidFill>
              </a:ln>
              <a:effectLst/>
            </c:spPr>
            <c:extLst>
              <c:ext xmlns:c16="http://schemas.microsoft.com/office/drawing/2014/chart" uri="{C3380CC4-5D6E-409C-BE32-E72D297353CC}">
                <c16:uniqueId val="{00000006-FE70-411F-9FB7-C6DA66D87B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116</c:v>
                </c:pt>
              </c:numCache>
            </c:numRef>
          </c:val>
          <c:extLst>
            <c:ext xmlns:c16="http://schemas.microsoft.com/office/drawing/2014/chart" uri="{C3380CC4-5D6E-409C-BE32-E72D297353CC}">
              <c16:uniqueId val="{00000004-FE70-411F-9FB7-C6DA66D87B5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[CFA Level 1 Performance Tracker '25.xlsx]Working!PivotTable3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2">
              <a:lumMod val="75000"/>
            </a:schemeClr>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accent2">
                <a:lumMod val="75000"/>
              </a:schemeClr>
            </a:solidFill>
          </a:ln>
          <a:effectLst/>
        </c:spPr>
      </c:pivotFmt>
      <c:pivotFmt>
        <c:idx val="10"/>
        <c:spPr>
          <a:solidFill>
            <a:schemeClr val="accent2">
              <a:lumMod val="75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solidFill>
              <a:schemeClr val="accent2">
                <a:lumMod val="75000"/>
              </a:schemeClr>
            </a:solidFill>
            <a:ln>
              <a:solidFill>
                <a:schemeClr val="accent2">
                  <a:lumMod val="75000"/>
                </a:schemeClr>
              </a:solid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11FC-4C96-B61D-01B0E74A8A0C}"/>
              </c:ext>
            </c:extLst>
          </c:dPt>
          <c:dPt>
            <c:idx val="1"/>
            <c:bubble3D val="0"/>
            <c:spPr>
              <a:solidFill>
                <a:schemeClr val="accent2">
                  <a:lumMod val="75000"/>
                </a:schemeClr>
              </a:solidFill>
              <a:ln w="19050">
                <a:solidFill>
                  <a:schemeClr val="accent2">
                    <a:lumMod val="75000"/>
                  </a:schemeClr>
                </a:solidFill>
              </a:ln>
              <a:effectLst/>
            </c:spPr>
            <c:extLst>
              <c:ext xmlns:c16="http://schemas.microsoft.com/office/drawing/2014/chart" uri="{C3380CC4-5D6E-409C-BE32-E72D297353CC}">
                <c16:uniqueId val="{00000007-1B82-410F-9EAF-97E19C48E1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116</c:v>
                </c:pt>
              </c:numCache>
            </c:numRef>
          </c:val>
          <c:extLst>
            <c:ext xmlns:c16="http://schemas.microsoft.com/office/drawing/2014/chart" uri="{C3380CC4-5D6E-409C-BE32-E72D297353CC}">
              <c16:uniqueId val="{00000004-1B82-410F-9EAF-97E19C48E17B}"/>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[CFA Level 1 Performance Tracker '25.xlsx]Working!PivotTable4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5">
              <a:lumMod val="60000"/>
              <a:lumOff val="40000"/>
            </a:schemeClr>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20000"/>
              <a:lumOff val="80000"/>
            </a:schemeClr>
          </a:solidFill>
          <a:ln w="19050">
            <a:solidFill>
              <a:schemeClr val="accent5">
                <a:lumMod val="60000"/>
                <a:lumOff val="40000"/>
              </a:schemeClr>
            </a:solidFill>
          </a:ln>
          <a:effectLst/>
        </c:spPr>
      </c:pivotFmt>
      <c:pivotFmt>
        <c:idx val="10"/>
        <c:spPr>
          <a:solidFill>
            <a:schemeClr val="accent5">
              <a:lumMod val="60000"/>
              <a:lumOff val="4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solidFill>
              <a:schemeClr val="accent5">
                <a:lumMod val="60000"/>
                <a:lumOff val="40000"/>
              </a:schemeClr>
            </a:solidFill>
            <a:ln>
              <a:solidFill>
                <a:schemeClr val="accent5">
                  <a:lumMod val="60000"/>
                  <a:lumOff val="40000"/>
                </a:schemeClr>
              </a:solidFill>
            </a:ln>
          </c:spPr>
          <c:dPt>
            <c:idx val="0"/>
            <c:bubble3D val="0"/>
            <c:spPr>
              <a:solidFill>
                <a:schemeClr val="accent5">
                  <a:lumMod val="20000"/>
                  <a:lumOff val="80000"/>
                </a:schemeClr>
              </a:solidFill>
              <a:ln w="19050">
                <a:solidFill>
                  <a:schemeClr val="accent5">
                    <a:lumMod val="60000"/>
                    <a:lumOff val="40000"/>
                  </a:schemeClr>
                </a:solidFill>
              </a:ln>
              <a:effectLst/>
            </c:spPr>
            <c:extLst>
              <c:ext xmlns:c16="http://schemas.microsoft.com/office/drawing/2014/chart" uri="{C3380CC4-5D6E-409C-BE32-E72D297353CC}">
                <c16:uniqueId val="{00000001-6A47-4273-9569-0E9280344B5A}"/>
              </c:ext>
            </c:extLst>
          </c:dPt>
          <c:dPt>
            <c:idx val="1"/>
            <c:bubble3D val="0"/>
            <c:spPr>
              <a:solidFill>
                <a:schemeClr val="accent5">
                  <a:lumMod val="60000"/>
                  <a:lumOff val="40000"/>
                </a:schemeClr>
              </a:solidFill>
              <a:ln w="19050">
                <a:solidFill>
                  <a:schemeClr val="accent5">
                    <a:lumMod val="60000"/>
                    <a:lumOff val="40000"/>
                  </a:schemeClr>
                </a:solidFill>
              </a:ln>
              <a:effectLst/>
            </c:spPr>
            <c:extLst>
              <c:ext xmlns:c16="http://schemas.microsoft.com/office/drawing/2014/chart" uri="{C3380CC4-5D6E-409C-BE32-E72D297353CC}">
                <c16:uniqueId val="{00000003-6A47-4273-9569-0E9280344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116</c:v>
                </c:pt>
              </c:numCache>
            </c:numRef>
          </c:val>
          <c:extLst>
            <c:ext xmlns:c16="http://schemas.microsoft.com/office/drawing/2014/chart" uri="{C3380CC4-5D6E-409C-BE32-E72D297353CC}">
              <c16:uniqueId val="{00000004-6A47-4273-9569-0E9280344B5A}"/>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[CFA Level 1 Performance Tracker '25.xlsx]Working!PivotTable5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4">
              <a:lumMod val="60000"/>
              <a:lumOff val="40000"/>
            </a:schemeClr>
          </a:solidFill>
          <a:ln w="19050">
            <a:solidFill>
              <a:schemeClr val="accent4">
                <a:lumMod val="60000"/>
                <a:lumOff val="40000"/>
              </a:schemeClr>
            </a:solidFill>
          </a:ln>
          <a:effectLst/>
        </c:spPr>
      </c:pivotFmt>
      <c:pivotFmt>
        <c:idx val="10"/>
        <c:spPr>
          <a:solidFill>
            <a:schemeClr val="accent4">
              <a:lumMod val="20000"/>
              <a:lumOff val="8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ln>
              <a:solidFill>
                <a:schemeClr val="accent4">
                  <a:lumMod val="60000"/>
                  <a:lumOff val="40000"/>
                </a:schemeClr>
              </a:solid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6-A9C5-4FDC-AE6A-F7AAF12577CF}"/>
              </c:ext>
            </c:extLst>
          </c:dPt>
          <c:dPt>
            <c:idx val="1"/>
            <c:bubble3D val="0"/>
            <c:spPr>
              <a:solidFill>
                <a:schemeClr val="accent6">
                  <a:tint val="30000"/>
                </a:schemeClr>
              </a:solidFill>
              <a:ln w="19050">
                <a:solidFill>
                  <a:schemeClr val="accent4">
                    <a:lumMod val="60000"/>
                    <a:lumOff val="40000"/>
                  </a:schemeClr>
                </a:solidFill>
              </a:ln>
              <a:effectLst/>
            </c:spPr>
            <c:extLst>
              <c:ext xmlns:c16="http://schemas.microsoft.com/office/drawing/2014/chart" uri="{C3380CC4-5D6E-409C-BE32-E72D297353CC}">
                <c16:uniqueId val="{00000007-A9C5-4FDC-AE6A-F7AAF12577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116</c:v>
                </c:pt>
              </c:numCache>
            </c:numRef>
          </c:val>
          <c:extLst>
            <c:ext xmlns:c16="http://schemas.microsoft.com/office/drawing/2014/chart" uri="{C3380CC4-5D6E-409C-BE32-E72D297353CC}">
              <c16:uniqueId val="{00000004-A9C5-4FDC-AE6A-F7AAF12577CF}"/>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21C78B95-68C5-4DA8-A572-A4BF61DF2E7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BCDFCC37-D558-495B-9B91-1DFC5CE8B85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A1973714-0D4E-4E20-8520-53820A6253C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934C8BBB-10A8-4119-8DDA-757633FB28A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0.86042944785276076</c:v>
                </c:pt>
                <c:pt idx="3">
                  <c:v>0.13957055214723926</c:v>
                </c:pt>
              </c:numCache>
            </c:numRef>
          </c:val>
          <c:extLst>
            <c:ext xmlns:c15="http://schemas.microsoft.com/office/drawing/2012/chart" uri="{02D57815-91ED-43cb-92C2-25804820EDAC}">
              <c15:datalabelsRange>
                <c15:f>Working!$E$54:$E$57</c15:f>
                <c15:dlblRangeCache>
                  <c:ptCount val="4"/>
                  <c:pt idx="2">
                    <c:v>Extra Undone, 276</c:v>
                  </c:pt>
                  <c:pt idx="3">
                    <c:v>Undone, 44</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40A8836C-B8E4-4EE4-9493-4E4D41F48A9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8B48F6C9-09A4-424E-BBEF-5F0A38FD61E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4BD0A9BC-80DB-4CBD-9420-B00D1A7B5C1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9E3B8CCE-A405-48E1-A1A5-89AD3D9ADDF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0.86042944785276076</c:v>
                </c:pt>
                <c:pt idx="3">
                  <c:v>0.13957055214723926</c:v>
                </c:pt>
              </c:numCache>
            </c:numRef>
          </c:val>
          <c:extLst>
            <c:ext xmlns:c15="http://schemas.microsoft.com/office/drawing/2012/chart" uri="{02D57815-91ED-43cb-92C2-25804820EDAC}">
              <c15:datalabelsRange>
                <c15:f>Working!$E$61:$E$64</c15:f>
                <c15:dlblRangeCache>
                  <c:ptCount val="4"/>
                  <c:pt idx="2">
                    <c:v>Extra Undone, 499</c:v>
                  </c:pt>
                  <c:pt idx="3">
                    <c:v>Undone, 80</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08B59581-6D39-43AA-8CB8-421FC2CEFBC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F9CA61DD-669A-4492-9D2C-97C71E31401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01CE3786-A11C-4FB7-8E71-D840A74FB9E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9045B831-29F0-4821-8E91-241C5FE3425F}"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0.86042944785276088</c:v>
                </c:pt>
                <c:pt idx="3">
                  <c:v>0.13957055214723918</c:v>
                </c:pt>
              </c:numCache>
            </c:numRef>
          </c:val>
          <c:extLst>
            <c:ext xmlns:c15="http://schemas.microsoft.com/office/drawing/2012/chart" uri="{02D57815-91ED-43cb-92C2-25804820EDAC}">
              <c15:datalabelsRange>
                <c15:f>Working!$E$68:$E$71</c15:f>
                <c15:dlblRangeCache>
                  <c:ptCount val="4"/>
                  <c:pt idx="2">
                    <c:v>Extra Undone, 775</c:v>
                  </c:pt>
                  <c:pt idx="3">
                    <c:v>Undone, 125</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C09358BF-B64F-4C8D-A184-1A0D2DED7930}"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AFD7EA9D-7ECC-49C4-87DA-970D8307DB8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39F98AD0-00F8-45C1-8D6B-DF6541200A11}"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1A47E644-E620-496B-90EA-95F17078FD6C}"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0.86042944785276065</c:v>
                </c:pt>
                <c:pt idx="3">
                  <c:v>0.13957055214723932</c:v>
                </c:pt>
              </c:numCache>
            </c:numRef>
          </c:val>
          <c:extLst>
            <c:ext xmlns:c15="http://schemas.microsoft.com/office/drawing/2012/chart" uri="{02D57815-91ED-43cb-92C2-25804820EDAC}">
              <c15:datalabelsRange>
                <c15:f>Working!$E$47:$E$50</c15:f>
                <c15:dlblRangeCache>
                  <c:ptCount val="4"/>
                  <c:pt idx="2">
                    <c:v>Extra Undone, 100</c:v>
                  </c:pt>
                  <c:pt idx="3">
                    <c:v>Undone, 16</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A1F1E5B5-DA97-4E36-A56A-14F22346D30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22D28A7F-DCA5-48C3-9837-5D1E5F56D82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DED874B4-FAD0-43E8-AEC7-A106EAD0457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CD27DA4E-EDB7-4EDC-AACF-9F18B4D6ACD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0.86042944785276076</c:v>
                </c:pt>
                <c:pt idx="3">
                  <c:v>0.13957055214723926</c:v>
                </c:pt>
              </c:numCache>
            </c:numRef>
          </c:val>
          <c:extLst>
            <c:ext xmlns:c15="http://schemas.microsoft.com/office/drawing/2012/chart" uri="{02D57815-91ED-43cb-92C2-25804820EDAC}">
              <c15:datalabelsRange>
                <c15:f>Working!$E$54:$E$57</c15:f>
                <c15:dlblRangeCache>
                  <c:ptCount val="4"/>
                  <c:pt idx="2">
                    <c:v>Extra Undone, 276</c:v>
                  </c:pt>
                  <c:pt idx="3">
                    <c:v>Undone, 44</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4B63A274-7ACF-4610-B6D4-66A736DC960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9F41EE6E-1ACD-43FE-B3C1-FF9A2AA915C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420E11DF-68D4-4F26-9D63-BF7041E78B1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758459F6-6210-438C-93AD-5831B222038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0.86042944785276076</c:v>
                </c:pt>
                <c:pt idx="3">
                  <c:v>0.13957055214723926</c:v>
                </c:pt>
              </c:numCache>
            </c:numRef>
          </c:val>
          <c:extLst>
            <c:ext xmlns:c15="http://schemas.microsoft.com/office/drawing/2012/chart" uri="{02D57815-91ED-43cb-92C2-25804820EDAC}">
              <c15:datalabelsRange>
                <c15:f>Working!$E$61:$E$64</c15:f>
                <c15:dlblRangeCache>
                  <c:ptCount val="4"/>
                  <c:pt idx="2">
                    <c:v>Extra Undone, 499</c:v>
                  </c:pt>
                  <c:pt idx="3">
                    <c:v>Undone, 80</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7EF72D5-93CA-4086-9A0F-3BF2CE9E9A4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A29F09BD-CA4B-4718-93F5-94A9D592BA7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07A23650-C509-41AA-AE57-8D53B2DA7B30}"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0CA1286A-7378-4B31-BFE3-BF4069006D1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0.86042944785276088</c:v>
                </c:pt>
                <c:pt idx="3">
                  <c:v>0.13957055214723918</c:v>
                </c:pt>
              </c:numCache>
            </c:numRef>
          </c:val>
          <c:extLst>
            <c:ext xmlns:c15="http://schemas.microsoft.com/office/drawing/2012/chart" uri="{02D57815-91ED-43cb-92C2-25804820EDAC}">
              <c15:datalabelsRange>
                <c15:f>Working!$E$68:$E$71</c15:f>
                <c15:dlblRangeCache>
                  <c:ptCount val="4"/>
                  <c:pt idx="2">
                    <c:v>Extra Undone, 775</c:v>
                  </c:pt>
                  <c:pt idx="3">
                    <c:v>Undone, 125</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3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+91 9831779747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17</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6</xdr:row>
      <xdr:rowOff>126891</xdr:rowOff>
    </xdr:from>
    <xdr:to>
      <xdr:col>18</xdr:col>
      <xdr:colOff>44450</xdr:colOff>
      <xdr:row>14</xdr:row>
      <xdr:rowOff>59015</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23664</xdr:rowOff>
    </xdr:from>
    <xdr:to>
      <xdr:col>5</xdr:col>
      <xdr:colOff>19050</xdr:colOff>
      <xdr:row>46</xdr:row>
      <xdr:rowOff>157132</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498.726335995372" createdVersion="7" refreshedVersion="8" minRefreshableVersion="3" recordCount="77" xr:uid="{FC0E6DB8-2D29-449C-9177-1A77E9689797}">
  <cacheSource type="worksheet">
    <worksheetSource name="Master_Data"/>
  </cacheSource>
  <cacheFields count="39">
    <cacheField name="Order of Study" numFmtId="3">
      <sharedItems containsSemiMixedTypes="0" containsString="0" containsNumber="1" containsInteger="1" minValue="1" maxValue="77"/>
    </cacheField>
    <cacheField name="Schedule" numFmtId="3">
      <sharedItems/>
    </cacheField>
    <cacheField name="Column1" numFmtId="3">
      <sharedItems containsSemiMixedTypes="0" containsString="0" containsNumber="1" containsInteger="1" minValue="1" maxValue="13"/>
    </cacheField>
    <cacheField name="Column2" numFmtId="3">
      <sharedItems containsMixedTypes="1" containsNumber="1" containsInteger="1" minValue="1" maxValue="13"/>
    </cacheField>
    <cacheField name="Cum. Undone hrs" numFmtId="0">
      <sharedItems containsSemiMixedTypes="0" containsNonDate="0" containsDate="1" containsString="0" minDate="1899-12-30T11:03:00" maxDate="1900-01-12T09:14:00"/>
    </cacheField>
    <cacheField name="Undone hrs" numFmtId="0">
      <sharedItems containsSemiMixedTypes="0" containsDate="1" containsString="0" containsMixedTypes="1" minDate="1899-12-30T00:02:00" maxDate="1899-12-30T00:00:00"/>
    </cacheField>
    <cacheField name="Subject" numFmtId="0">
      <sharedItems count="19">
        <s v="Quants"/>
        <s v="Corp. Issuers"/>
        <s v="FSA"/>
        <s v="Alt. Invest."/>
        <s v="Derivatives"/>
        <s v="Fixed Income"/>
        <s v="Ethics"/>
        <s v="Economics"/>
        <s v="Portfolio-1 and 2"/>
        <s v="Equity"/>
        <s v="Portfolio-1" u="1"/>
        <s v="Portfolio-2" u="1"/>
        <s v="Quants PR" u="1"/>
        <s v="FSA PR" u="1"/>
        <s v="Economics PR" u="1"/>
        <s v="Portfolio" u="1"/>
        <s v="Alt. Investments" u="1"/>
        <s v="FRA" u="1"/>
        <s v="Corporate Issuers" u="1"/>
      </sharedItems>
    </cacheField>
    <cacheField name="Reading" numFmtId="0">
      <sharedItems containsMixedTypes="1" containsNumber="1" containsInteger="1" minValue="2" maxValue="93"/>
    </cacheField>
    <cacheField name="Changes" numFmtId="0">
      <sharedItems/>
    </cacheField>
    <cacheField name="Topic" numFmtId="0">
      <sharedItems/>
    </cacheField>
    <cacheField name="No. of Chapters" numFmtId="0">
      <sharedItems containsSemiMixedTypes="0" containsString="0" containsNumber="1" minValue="1" maxValue="6"/>
    </cacheField>
    <cacheField name="No. of LOS2" numFmtId="0">
      <sharedItems containsSemiMixedTypes="0" containsString="0" containsNumber="1" containsInteger="1" minValue="1" maxValue="25"/>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1" maxValue="5"/>
    </cacheField>
    <cacheField name="Imp. Level" numFmtId="0">
      <sharedItems containsSemiMixedTypes="0" containsString="0" containsNumber="1" containsInteger="1" minValue="1" maxValue="5"/>
    </cacheField>
    <cacheField name="Reqd. Prac." numFmtId="0">
      <sharedItems containsSemiMixedTypes="0" containsString="0" containsNumber="1" containsInteger="1" minValue="2" maxValue="5"/>
    </cacheField>
    <cacheField name="Duration (hh:mm)" numFmtId="20">
      <sharedItems containsSemiMixedTypes="0" containsNonDate="0" containsDate="1" containsString="0" minDate="1899-12-30T00:02:00" maxDate="1899-12-30T13:44:00" count="70">
        <d v="1899-12-30T11:03:00"/>
        <d v="1899-12-30T07:07:00"/>
        <d v="1899-12-30T07:31:00"/>
        <d v="1899-12-30T02:05:00"/>
        <d v="1899-12-30T04:46:00"/>
        <d v="1899-12-30T03:37:00"/>
        <d v="1899-12-30T07:53:00"/>
        <d v="1899-12-30T08:06:00"/>
        <d v="1899-12-30T05:06:00"/>
        <d v="1899-12-30T08:53:00"/>
        <d v="1899-12-30T03:22:00"/>
        <d v="1899-12-30T03:50:00"/>
        <d v="1899-12-30T01:37:00"/>
        <d v="1899-12-30T03:24:00"/>
        <d v="1899-12-30T03:38:00"/>
        <d v="1899-12-30T04:02:00"/>
        <d v="1899-12-30T05:12:00"/>
        <d v="1899-12-30T02:15:00"/>
        <d v="1899-12-30T01:08:00"/>
        <d v="1899-12-30T02:07:00"/>
        <d v="1899-12-30T02:23:00"/>
        <d v="1899-12-30T04:57:00"/>
        <d v="1899-12-30T08:50:00"/>
        <d v="1899-12-30T02:42:00"/>
        <d v="1899-12-30T02:16:00"/>
        <d v="1899-12-30T01:01:00"/>
        <d v="1899-12-30T03:09:00"/>
        <d v="1899-12-30T02:44:00"/>
        <d v="1899-12-30T05:08:00"/>
        <d v="1899-12-30T03:19:00"/>
        <d v="1899-12-30T04:03:00"/>
        <d v="1899-12-30T03:02:00"/>
        <d v="1899-12-30T01:51:00"/>
        <d v="1899-12-30T13:44:00"/>
        <d v="1899-12-30T12:03:00"/>
        <d v="1899-12-30T11:44:00"/>
        <d v="1899-12-30T02:04:00"/>
        <d v="1899-12-30T10:16:00"/>
        <d v="1899-12-30T01:27:00"/>
        <d v="1899-12-30T01:11:00"/>
        <d v="1899-12-30T05:42:00"/>
        <d v="1899-12-30T01:03:00"/>
        <d v="1899-12-30T00:54:00"/>
        <d v="1899-12-30T01:33:00"/>
        <d v="1899-12-30T04:54:00"/>
        <d v="1899-12-30T01:02:00"/>
        <d v="1899-12-30T02:03:00"/>
        <d v="1899-12-30T02:17:00"/>
        <d v="1899-12-30T03:49:00"/>
        <d v="1899-12-30T01:48:00"/>
        <d v="1899-12-30T02:49:00"/>
        <d v="1899-12-30T02:33:00"/>
        <d v="1899-12-30T02:28:00"/>
        <d v="1899-12-30T03:15:00"/>
        <d v="1899-12-30T01:56:00"/>
        <d v="1899-12-30T03:17:00"/>
        <d v="1899-12-30T04:26:00"/>
        <d v="1899-12-30T09:16:00"/>
        <d v="1899-12-30T04:30:00"/>
        <d v="1899-12-30T06:03:00"/>
        <d v="1899-12-30T03:25:00"/>
        <d v="1899-12-30T02:30:00"/>
        <d v="1899-12-30T01:13:00"/>
        <d v="1899-12-30T01:35:00"/>
        <d v="1899-12-30T06:44:00"/>
        <d v="1899-12-30T05:30:00"/>
        <d v="1899-12-30T04:07:00"/>
        <d v="1899-12-30T07:25:00"/>
        <d v="1899-12-30T04:58:00"/>
        <d v="1899-12-30T00:02:00"/>
      </sharedItems>
      <fieldGroup par="38" base="18">
        <rangePr groupBy="seconds" startDate="1899-12-30T00:02:00" endDate="1899-12-30T13:44: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3.4398671785825479" maxValue="100"/>
    </cacheField>
    <cacheField name="Lectures" numFmtId="17">
      <sharedItems count="2">
        <s v="U"/>
        <s v="D" u="1"/>
      </sharedItems>
    </cacheField>
    <cacheField name="Self Study" numFmtId="17">
      <sharedItems count="2">
        <s v="U"/>
        <s v="D" u="1"/>
      </sharedItems>
    </cacheField>
    <cacheField name="Inst. EOC Ques." numFmtId="17">
      <sharedItems/>
    </cacheField>
    <cacheField name="Class Test Book" numFmtId="17">
      <sharedItems/>
    </cacheField>
    <cacheField name="Revision" numFmtId="17">
      <sharedItems count="2">
        <s v="U"/>
        <s v="D" u="1"/>
      </sharedItems>
    </cacheField>
    <cacheField name="Inst. Online Portal" numFmtId="17">
      <sharedItems/>
    </cacheField>
    <cacheField name="Prac. Book" numFmtId="17">
      <sharedItems/>
    </cacheField>
    <cacheField name="Schweser Prac. Bk 1" numFmtId="17">
      <sharedItems/>
    </cacheField>
    <cacheField name="Schweser Prac. Bk 2" numFmtId="17">
      <sharedItems/>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3.3670033670033669E-3" maxValue="0.02"/>
    </cacheField>
    <cacheField name="Subjectwise weights" numFmtId="9">
      <sharedItems containsSemiMixedTypes="0" containsString="0" containsNumber="1" minValue="4.5454545454545456E-2" maxValue="0.41666666666666669"/>
    </cacheField>
    <cacheField name="Subjectwise weighted average" numFmtId="4">
      <sharedItems containsSemiMixedTypes="0" containsString="0" containsNumber="1" minValue="9.0909090909090912E-2" maxValue="1"/>
    </cacheField>
    <cacheField name="Practice" numFmtId="0">
      <sharedItems count="2">
        <s v="U"/>
        <s v="D" u="1"/>
      </sharedItems>
    </cacheField>
    <cacheField name="Extra Practice" numFmtId="0">
      <sharedItems count="2">
        <s v="U"/>
        <s v="D" u="1"/>
      </sharedItems>
    </cacheField>
    <cacheField name="Study" numFmtId="0">
      <sharedItems/>
    </cacheField>
    <cacheField name="Minutes" numFmtId="0" databaseField="0">
      <fieldGroup base="18">
        <rangePr groupBy="minutes" startDate="1899-12-30T00:02:00" endDate="1899-12-30T13:44: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02:00" endDate="1899-12-30T13:44: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n v="1"/>
    <s v="Current Week"/>
    <n v="1"/>
    <e v="#VALUE!"/>
    <d v="1899-12-30T11:03:00"/>
    <d v="1899-12-30T11:03:00"/>
    <x v="0"/>
    <s v="01,PR1"/>
    <s v="Same"/>
    <s v="The Time Value of Money"/>
    <n v="2"/>
    <n v="11"/>
    <n v="4"/>
    <n v="5"/>
    <n v="4"/>
    <n v="5"/>
    <n v="5"/>
    <n v="4"/>
    <x v="0"/>
    <n v="3.4398671785825479"/>
    <x v="0"/>
    <x v="0"/>
    <s v="U"/>
    <s v="U"/>
    <x v="0"/>
    <s v="U"/>
    <s v="U"/>
    <s v="U"/>
    <s v="U"/>
    <n v="3"/>
    <m/>
    <n v="0.02"/>
    <n v="0.11363636363636363"/>
    <n v="0.34090909090909088"/>
    <x v="0"/>
    <x v="0"/>
    <s v="U"/>
  </r>
  <r>
    <n v="2"/>
    <s v="Current Week"/>
    <n v="1"/>
    <n v="1"/>
    <d v="1899-12-30T18:10:00"/>
    <d v="1899-12-30T07:07:00"/>
    <x v="1"/>
    <n v="24"/>
    <s v="Same"/>
    <s v="Capital Investments and Capital Allocation"/>
    <n v="1"/>
    <n v="4"/>
    <n v="4"/>
    <n v="4"/>
    <n v="4"/>
    <n v="4"/>
    <n v="5"/>
    <n v="4"/>
    <x v="1"/>
    <n v="5.6552869150150489"/>
    <x v="0"/>
    <x v="0"/>
    <s v="U"/>
    <s v="U"/>
    <x v="0"/>
    <s v="U"/>
    <s v="U"/>
    <s v="U"/>
    <s v="U"/>
    <n v="3"/>
    <m/>
    <n v="1.6835016835016835E-2"/>
    <n v="0.22727272727272727"/>
    <n v="0.68181818181818177"/>
    <x v="0"/>
    <x v="0"/>
    <s v="U"/>
  </r>
  <r>
    <n v="3"/>
    <s v="Week 2"/>
    <n v="2"/>
    <n v="2"/>
    <d v="1899-12-31T01:41:00"/>
    <d v="1899-12-30T07:31:00"/>
    <x v="0"/>
    <s v="03,PR2"/>
    <s v="Same"/>
    <s v="Statistical Measures"/>
    <n v="2"/>
    <n v="15"/>
    <n v="4"/>
    <n v="4"/>
    <n v="3"/>
    <n v="4"/>
    <n v="4"/>
    <n v="4"/>
    <x v="2"/>
    <n v="7.9952267303102644"/>
    <x v="0"/>
    <x v="0"/>
    <s v="U"/>
    <s v="U"/>
    <x v="0"/>
    <s v="U"/>
    <s v="U"/>
    <s v="U"/>
    <s v="U"/>
    <n v="2"/>
    <m/>
    <n v="1.3468013468013467E-2"/>
    <n v="9.0909090909090912E-2"/>
    <n v="0.18181818181818182"/>
    <x v="0"/>
    <x v="0"/>
    <s v="U"/>
  </r>
  <r>
    <n v="4"/>
    <s v="Week 2"/>
    <n v="2"/>
    <n v="2"/>
    <d v="1899-12-31T03:46:00"/>
    <d v="1899-12-30T02:05:00"/>
    <x v="0"/>
    <n v="5"/>
    <s v="Same"/>
    <s v="Portfolio Mathematics"/>
    <n v="1"/>
    <n v="3"/>
    <n v="4"/>
    <n v="4"/>
    <n v="3"/>
    <n v="4"/>
    <n v="4"/>
    <n v="4"/>
    <x v="3"/>
    <n v="8.6437688077202477"/>
    <x v="0"/>
    <x v="0"/>
    <s v="U"/>
    <s v="U"/>
    <x v="0"/>
    <s v="U"/>
    <s v="U"/>
    <s v="U"/>
    <s v="U"/>
    <n v="3"/>
    <m/>
    <n v="1.3468013468013467E-2"/>
    <n v="9.0909090909090912E-2"/>
    <n v="0.27272727272727271"/>
    <x v="0"/>
    <x v="0"/>
    <s v="U"/>
  </r>
  <r>
    <n v="5"/>
    <s v="Week 2"/>
    <n v="2"/>
    <n v="2"/>
    <d v="1899-12-31T08:32:00"/>
    <d v="1899-12-30T04:46:00"/>
    <x v="0"/>
    <s v="04,PR3"/>
    <s v="Same"/>
    <s v="Probability"/>
    <n v="2"/>
    <n v="11"/>
    <n v="4"/>
    <n v="4"/>
    <n v="3"/>
    <n v="4"/>
    <n v="4"/>
    <n v="4"/>
    <x v="4"/>
    <n v="10.127633080834288"/>
    <x v="0"/>
    <x v="0"/>
    <s v="U"/>
    <s v="U"/>
    <x v="0"/>
    <s v="U"/>
    <s v="U"/>
    <s v="U"/>
    <s v="U"/>
    <n v="3"/>
    <m/>
    <n v="1.3468013468013467E-2"/>
    <n v="9.0909090909090912E-2"/>
    <n v="0.27272727272727271"/>
    <x v="0"/>
    <x v="0"/>
    <s v="U"/>
  </r>
  <r>
    <n v="6"/>
    <s v="Week 2"/>
    <n v="2"/>
    <n v="2"/>
    <d v="1899-12-31T12:09:00"/>
    <d v="1899-12-30T03:37:00"/>
    <x v="2"/>
    <s v="27,PR15"/>
    <s v="Same"/>
    <s v="Financial Statement Reporting and Analysis"/>
    <n v="2"/>
    <n v="10"/>
    <n v="1"/>
    <n v="1"/>
    <n v="1"/>
    <n v="1"/>
    <n v="3"/>
    <n v="2"/>
    <x v="5"/>
    <n v="11.253502127218018"/>
    <x v="0"/>
    <x v="0"/>
    <s v="U"/>
    <s v="U"/>
    <x v="0"/>
    <s v="U"/>
    <s v="U"/>
    <s v="U"/>
    <s v="U"/>
    <n v="2"/>
    <m/>
    <n v="1.0101010101010102E-2"/>
    <n v="6.9767441860465115E-2"/>
    <n v="0.13953488372093023"/>
    <x v="0"/>
    <x v="0"/>
    <s v="U"/>
  </r>
  <r>
    <n v="7"/>
    <s v="Week 2"/>
    <n v="2"/>
    <n v="2"/>
    <d v="1899-12-31T20:02:00"/>
    <d v="1899-12-30T07:53:00"/>
    <x v="2"/>
    <s v="28,29,PR16,PR17"/>
    <s v="Same"/>
    <s v="Income Statement and Balance Sheet"/>
    <n v="4"/>
    <n v="25"/>
    <n v="3"/>
    <n v="3"/>
    <n v="3"/>
    <n v="3"/>
    <n v="4"/>
    <n v="4"/>
    <x v="6"/>
    <n v="13.707585348137394"/>
    <x v="0"/>
    <x v="0"/>
    <s v="U"/>
    <s v="U"/>
    <x v="0"/>
    <s v="U"/>
    <s v="U"/>
    <s v="U"/>
    <s v="U"/>
    <n v="2"/>
    <m/>
    <n v="1.3468013468013467E-2"/>
    <n v="9.3023255813953487E-2"/>
    <n v="0.18604651162790697"/>
    <x v="0"/>
    <x v="0"/>
    <s v="U"/>
  </r>
  <r>
    <n v="8"/>
    <s v="Week 3"/>
    <n v="3"/>
    <n v="3"/>
    <d v="1900-01-01T04:08:00"/>
    <d v="1899-12-30T08:06:00"/>
    <x v="0"/>
    <s v="06,PR4,PR7"/>
    <s v="Same"/>
    <s v="Probability Distributions"/>
    <n v="3"/>
    <n v="19"/>
    <n v="3"/>
    <n v="4"/>
    <n v="4"/>
    <n v="4"/>
    <n v="4"/>
    <n v="4"/>
    <x v="7"/>
    <n v="16.229116945107407"/>
    <x v="0"/>
    <x v="0"/>
    <s v="U"/>
    <s v="U"/>
    <x v="0"/>
    <s v="U"/>
    <s v="U"/>
    <s v="U"/>
    <s v="U"/>
    <n v="2"/>
    <m/>
    <n v="1.3468013468013467E-2"/>
    <n v="9.0909090909090912E-2"/>
    <n v="0.18181818181818182"/>
    <x v="0"/>
    <x v="0"/>
    <s v="U"/>
  </r>
  <r>
    <n v="9"/>
    <s v="Week 3"/>
    <n v="3"/>
    <n v="3"/>
    <d v="1900-01-01T21:29:00"/>
    <d v="1899-12-30T05:06:00"/>
    <x v="0"/>
    <s v="07,PR5"/>
    <s v="Same"/>
    <s v="Sampling, Estimation, Inference"/>
    <n v="2"/>
    <n v="7"/>
    <n v="3"/>
    <n v="4"/>
    <n v="4"/>
    <n v="5"/>
    <n v="4"/>
    <n v="4"/>
    <x v="8"/>
    <n v="17.816747950607041"/>
    <x v="0"/>
    <x v="0"/>
    <s v="U"/>
    <s v="U"/>
    <x v="0"/>
    <s v="U"/>
    <s v="U"/>
    <s v="U"/>
    <s v="U"/>
    <n v="2"/>
    <m/>
    <n v="1.6E-2"/>
    <n v="9.0909090909090912E-2"/>
    <n v="0.18181818181818182"/>
    <x v="0"/>
    <x v="0"/>
    <s v="U"/>
  </r>
  <r>
    <n v="10"/>
    <s v="Week 3"/>
    <n v="3"/>
    <n v="3"/>
    <d v="1900-01-01T18:07:00"/>
    <d v="1899-12-30T08:53:00"/>
    <x v="0"/>
    <s v="08,PR6"/>
    <s v="Same"/>
    <s v="Hypothesis Testing"/>
    <n v="2"/>
    <n v="13"/>
    <n v="5"/>
    <n v="4"/>
    <n v="5"/>
    <n v="5"/>
    <n v="4"/>
    <n v="4"/>
    <x v="9"/>
    <n v="20.582131368683211"/>
    <x v="0"/>
    <x v="0"/>
    <s v="U"/>
    <s v="U"/>
    <x v="0"/>
    <s v="U"/>
    <s v="U"/>
    <s v="U"/>
    <s v="U"/>
    <n v="2"/>
    <m/>
    <n v="1.3468013468013467E-2"/>
    <n v="9.0909090909090912E-2"/>
    <n v="0.18181818181818182"/>
    <x v="0"/>
    <x v="0"/>
    <s v="U"/>
  </r>
  <r>
    <n v="11"/>
    <s v="Week 3"/>
    <n v="3"/>
    <n v="3"/>
    <d v="1900-01-01T21:29:00"/>
    <d v="1899-12-30T03:22:00"/>
    <x v="2"/>
    <s v="30,31,PR18"/>
    <s v="Same"/>
    <s v="Cash Flow Statements"/>
    <n v="3"/>
    <n v="10"/>
    <n v="3"/>
    <n v="3"/>
    <n v="4"/>
    <n v="4"/>
    <n v="4"/>
    <n v="4"/>
    <x v="10"/>
    <n v="21.630175365777742"/>
    <x v="0"/>
    <x v="0"/>
    <s v="U"/>
    <s v="U"/>
    <x v="0"/>
    <s v="U"/>
    <s v="U"/>
    <s v="U"/>
    <s v="U"/>
    <n v="3"/>
    <m/>
    <n v="1.3468013468013467E-2"/>
    <n v="9.3023255813953487E-2"/>
    <n v="0.27906976744186046"/>
    <x v="0"/>
    <x v="0"/>
    <s v="U"/>
  </r>
  <r>
    <n v="12"/>
    <s v="Week 3"/>
    <n v="3"/>
    <n v="3"/>
    <d v="1900-01-02T01:19:00"/>
    <d v="1899-12-30T03:50:00"/>
    <x v="2"/>
    <n v="37"/>
    <s v="Same"/>
    <s v="Financial Analysis Techniques"/>
    <n v="1"/>
    <n v="6"/>
    <n v="4"/>
    <n v="4"/>
    <n v="3"/>
    <n v="3"/>
    <n v="5"/>
    <n v="4"/>
    <x v="11"/>
    <n v="22.823492788212111"/>
    <x v="0"/>
    <x v="0"/>
    <s v="U"/>
    <s v="U"/>
    <x v="0"/>
    <s v="U"/>
    <s v="U"/>
    <s v="U"/>
    <s v="U"/>
    <n v="3"/>
    <m/>
    <n v="1.6835016835016835E-2"/>
    <n v="0.11627906976744186"/>
    <n v="0.34883720930232559"/>
    <x v="0"/>
    <x v="0"/>
    <s v="U"/>
  </r>
  <r>
    <n v="13"/>
    <s v="Week 4"/>
    <n v="4"/>
    <n v="4"/>
    <d v="1900-01-02T02:56:00"/>
    <d v="1899-12-30T01:37:00"/>
    <x v="0"/>
    <n v="9"/>
    <s v="Same"/>
    <s v="Parametric and Non Parametric Tests of Independence"/>
    <n v="1"/>
    <n v="2"/>
    <n v="5"/>
    <n v="4"/>
    <n v="5"/>
    <n v="5"/>
    <n v="4"/>
    <n v="4"/>
    <x v="12"/>
    <n v="23.326761440282258"/>
    <x v="0"/>
    <x v="0"/>
    <s v="U"/>
    <s v="U"/>
    <x v="0"/>
    <s v="U"/>
    <s v="U"/>
    <s v="U"/>
    <s v="U"/>
    <n v="3"/>
    <m/>
    <n v="1.3468013468013467E-2"/>
    <n v="9.0909090909090912E-2"/>
    <n v="0.27272727272727271"/>
    <x v="0"/>
    <x v="0"/>
    <s v="U"/>
  </r>
  <r>
    <n v="14"/>
    <s v="Week 4"/>
    <n v="4"/>
    <n v="4"/>
    <d v="1900-01-02T06:20:00"/>
    <n v="0.14166666666666666"/>
    <x v="0"/>
    <n v="10"/>
    <s v="Same"/>
    <s v="Simple Linear Regression"/>
    <n v="1"/>
    <n v="6"/>
    <n v="3"/>
    <n v="4"/>
    <n v="4"/>
    <n v="4"/>
    <n v="4"/>
    <n v="4"/>
    <x v="13"/>
    <n v="24.385182110615347"/>
    <x v="0"/>
    <x v="0"/>
    <s v="U"/>
    <s v="U"/>
    <x v="0"/>
    <s v="U"/>
    <s v="U"/>
    <s v="U"/>
    <s v="U"/>
    <n v="3"/>
    <m/>
    <n v="1.3468013468013467E-2"/>
    <n v="9.0909090909090912E-2"/>
    <n v="0.27272727272727271"/>
    <x v="0"/>
    <x v="0"/>
    <s v="U"/>
  </r>
  <r>
    <n v="15"/>
    <s v="Week 4"/>
    <n v="4"/>
    <n v="4"/>
    <d v="1900-01-02T09:58:00"/>
    <d v="1899-12-30T03:38:00"/>
    <x v="2"/>
    <s v="32,PR19"/>
    <s v="Same"/>
    <s v="Inventories"/>
    <n v="2"/>
    <n v="15"/>
    <n v="4"/>
    <n v="2"/>
    <n v="4"/>
    <n v="4"/>
    <n v="4"/>
    <n v="4"/>
    <x v="14"/>
    <n v="25.516239493618357"/>
    <x v="0"/>
    <x v="0"/>
    <s v="U"/>
    <s v="U"/>
    <x v="0"/>
    <s v="U"/>
    <s v="U"/>
    <s v="U"/>
    <s v="U"/>
    <n v="2"/>
    <m/>
    <n v="1.6E-2"/>
    <n v="9.3023255813953487E-2"/>
    <n v="0.18604651162790697"/>
    <x v="0"/>
    <x v="0"/>
    <s v="U"/>
  </r>
  <r>
    <n v="16"/>
    <s v="Week 4"/>
    <n v="4"/>
    <n v="4"/>
    <d v="1900-01-02T14:00:00"/>
    <d v="1899-12-30T04:02:00"/>
    <x v="2"/>
    <s v="35,PR21"/>
    <s v="Same"/>
    <s v="Income Taxes"/>
    <n v="2"/>
    <n v="10"/>
    <n v="4"/>
    <n v="3"/>
    <n v="5"/>
    <n v="5"/>
    <n v="4"/>
    <n v="4"/>
    <x v="15"/>
    <n v="26.771816955484084"/>
    <x v="0"/>
    <x v="0"/>
    <s v="U"/>
    <s v="U"/>
    <x v="0"/>
    <s v="U"/>
    <s v="U"/>
    <s v="U"/>
    <s v="U"/>
    <n v="2"/>
    <m/>
    <n v="1.3468013468013467E-2"/>
    <n v="9.3023255813953487E-2"/>
    <n v="0.18604651162790697"/>
    <x v="0"/>
    <x v="0"/>
    <s v="U"/>
  </r>
  <r>
    <n v="17"/>
    <s v="Week 4"/>
    <n v="4"/>
    <n v="4"/>
    <d v="1900-01-02T19:12:00"/>
    <d v="1899-12-30T05:12:00"/>
    <x v="3"/>
    <s v="76,77"/>
    <s v="Same"/>
    <s v="AI-Methods, Structures, Performance and Returns"/>
    <n v="2"/>
    <n v="5"/>
    <n v="5"/>
    <n v="2"/>
    <n v="4"/>
    <n v="4"/>
    <n v="5"/>
    <n v="5"/>
    <x v="16"/>
    <n v="28.390577980699405"/>
    <x v="0"/>
    <x v="0"/>
    <s v="U"/>
    <s v="U"/>
    <x v="0"/>
    <s v="U"/>
    <s v="U"/>
    <s v="U"/>
    <s v="U"/>
    <n v="2"/>
    <m/>
    <n v="1.6835016835016835E-2"/>
    <n v="0.16666666666666666"/>
    <n v="0.33333333333333331"/>
    <x v="0"/>
    <x v="0"/>
    <s v="U"/>
  </r>
  <r>
    <n v="18"/>
    <s v="Week 4"/>
    <n v="4"/>
    <n v="4"/>
    <d v="1900-01-02T21:27:00"/>
    <d v="1899-12-30T02:15:00"/>
    <x v="3"/>
    <n v="79"/>
    <s v="Same"/>
    <s v="Real Estate and Infrastructure"/>
    <n v="1"/>
    <n v="4"/>
    <n v="5"/>
    <n v="2"/>
    <n v="4"/>
    <n v="4"/>
    <n v="5"/>
    <n v="5"/>
    <x v="17"/>
    <n v="29.091003424302187"/>
    <x v="0"/>
    <x v="0"/>
    <s v="U"/>
    <s v="U"/>
    <x v="0"/>
    <s v="U"/>
    <s v="U"/>
    <s v="U"/>
    <s v="U"/>
    <n v="2"/>
    <m/>
    <n v="1.6835016835016835E-2"/>
    <n v="0.16666666666666666"/>
    <n v="0.33333333333333331"/>
    <x v="0"/>
    <x v="0"/>
    <s v="U"/>
  </r>
  <r>
    <n v="19"/>
    <s v="Week 4"/>
    <n v="4"/>
    <n v="4"/>
    <d v="1900-01-02T22:35:00"/>
    <d v="1899-12-30T01:08:00"/>
    <x v="3"/>
    <n v="80"/>
    <s v="Same"/>
    <s v="Natural Resources"/>
    <n v="1"/>
    <n v="3"/>
    <n v="5"/>
    <n v="2"/>
    <n v="4"/>
    <n v="4"/>
    <n v="5"/>
    <n v="5"/>
    <x v="18"/>
    <n v="29.443810314413216"/>
    <x v="0"/>
    <x v="0"/>
    <s v="U"/>
    <s v="U"/>
    <x v="0"/>
    <s v="U"/>
    <s v="U"/>
    <s v="U"/>
    <s v="U"/>
    <n v="2"/>
    <m/>
    <n v="1.6835016835016835E-2"/>
    <n v="0.16666666666666666"/>
    <n v="0.33333333333333331"/>
    <x v="0"/>
    <x v="0"/>
    <s v="U"/>
  </r>
  <r>
    <n v="20"/>
    <s v="Week 4"/>
    <n v="4"/>
    <n v="4"/>
    <d v="1900-01-03T00:42:00"/>
    <d v="1899-12-30T02:07:00"/>
    <x v="3"/>
    <n v="78"/>
    <s v="Same"/>
    <s v="Investments in Private Capital-Equity and Debt"/>
    <n v="1"/>
    <n v="3"/>
    <n v="5"/>
    <n v="2"/>
    <n v="4"/>
    <n v="4"/>
    <n v="5"/>
    <n v="5"/>
    <x v="19"/>
    <n v="30.102729065061755"/>
    <x v="0"/>
    <x v="0"/>
    <s v="U"/>
    <s v="U"/>
    <x v="0"/>
    <s v="U"/>
    <s v="U"/>
    <s v="U"/>
    <s v="U"/>
    <n v="3"/>
    <m/>
    <n v="1.6835016835016835E-2"/>
    <n v="0.16666666666666666"/>
    <n v="0.5"/>
    <x v="0"/>
    <x v="0"/>
    <s v="U"/>
  </r>
  <r>
    <n v="21"/>
    <s v="Week 5"/>
    <n v="5"/>
    <n v="5"/>
    <d v="1900-01-03T03:05:00"/>
    <d v="1899-12-30T02:23:00"/>
    <x v="3"/>
    <n v="81"/>
    <s v="Same"/>
    <s v="Hedge Funds"/>
    <n v="1"/>
    <n v="3"/>
    <n v="5"/>
    <n v="2"/>
    <n v="4"/>
    <n v="4"/>
    <n v="5"/>
    <n v="5"/>
    <x v="20"/>
    <n v="30.844661201618777"/>
    <x v="0"/>
    <x v="0"/>
    <s v="U"/>
    <s v="U"/>
    <x v="0"/>
    <s v="U"/>
    <s v="U"/>
    <s v="U"/>
    <s v="U"/>
    <n v="2"/>
    <m/>
    <n v="1.6835016835016835E-2"/>
    <n v="0.16666666666666666"/>
    <n v="0.33333333333333331"/>
    <x v="0"/>
    <x v="0"/>
    <s v="U"/>
  </r>
  <r>
    <n v="22"/>
    <s v="Week 5"/>
    <n v="5"/>
    <n v="5"/>
    <d v="1900-01-03T08:02:00"/>
    <d v="1899-12-30T04:57:00"/>
    <x v="3"/>
    <n v="82"/>
    <s v="Same"/>
    <s v="Introduction to Digital Assets"/>
    <n v="1"/>
    <n v="4"/>
    <n v="5"/>
    <n v="2"/>
    <n v="4"/>
    <n v="4"/>
    <n v="5"/>
    <n v="5"/>
    <x v="21"/>
    <n v="32.385597177544895"/>
    <x v="0"/>
    <x v="0"/>
    <s v="U"/>
    <s v="U"/>
    <x v="0"/>
    <s v="U"/>
    <s v="U"/>
    <s v="U"/>
    <s v="U"/>
    <n v="2"/>
    <m/>
    <n v="0.02"/>
    <n v="0.16666666666666666"/>
    <n v="0.33333333333333331"/>
    <x v="0"/>
    <x v="0"/>
    <s v="U"/>
  </r>
  <r>
    <n v="23"/>
    <s v="Week 5"/>
    <n v="5"/>
    <n v="5"/>
    <d v="1900-01-03T16:52:00"/>
    <n v="0.36805555555555558"/>
    <x v="2"/>
    <s v="34,PR22"/>
    <s v="Same"/>
    <s v="Non Current LongTerm Liabilities"/>
    <n v="2"/>
    <n v="6"/>
    <n v="5"/>
    <n v="3"/>
    <n v="4"/>
    <n v="5"/>
    <n v="5"/>
    <n v="4"/>
    <x v="22"/>
    <n v="35.135415585763219"/>
    <x v="0"/>
    <x v="0"/>
    <s v="U"/>
    <s v="U"/>
    <x v="0"/>
    <s v="U"/>
    <s v="U"/>
    <s v="U"/>
    <s v="U"/>
    <n v="2"/>
    <m/>
    <n v="1.6835016835016835E-2"/>
    <n v="0.11627906976744186"/>
    <n v="0.23255813953488372"/>
    <x v="0"/>
    <x v="0"/>
    <s v="U"/>
  </r>
  <r>
    <n v="24"/>
    <s v="Week 5"/>
    <n v="5"/>
    <n v="5"/>
    <d v="1900-01-03T19:34:00"/>
    <d v="1899-12-30T02:42:00"/>
    <x v="2"/>
    <s v="33,PR20"/>
    <s v="Same"/>
    <s v="Long Lived Assets"/>
    <n v="2"/>
    <n v="10"/>
    <n v="4"/>
    <n v="3"/>
    <n v="3"/>
    <n v="4"/>
    <n v="4"/>
    <n v="4"/>
    <x v="23"/>
    <n v="35.975926118086555"/>
    <x v="0"/>
    <x v="0"/>
    <s v="U"/>
    <s v="U"/>
    <x v="0"/>
    <s v="U"/>
    <s v="U"/>
    <s v="U"/>
    <s v="U"/>
    <n v="2"/>
    <m/>
    <n v="1.6E-2"/>
    <n v="9.3023255813953487E-2"/>
    <n v="0.18604651162790697"/>
    <x v="0"/>
    <x v="0"/>
    <s v="U"/>
  </r>
  <r>
    <n v="25"/>
    <s v="Week 5"/>
    <n v="5"/>
    <n v="5"/>
    <d v="1900-01-03T21:50:00"/>
    <d v="1899-12-30T02:16:00"/>
    <x v="2"/>
    <n v="36"/>
    <s v="Same"/>
    <s v="Financial Reporting Quality"/>
    <n v="1"/>
    <n v="8"/>
    <n v="1"/>
    <n v="1"/>
    <n v="3"/>
    <n v="2"/>
    <n v="3"/>
    <n v="3"/>
    <x v="24"/>
    <n v="36.681539898308614"/>
    <x v="0"/>
    <x v="0"/>
    <s v="U"/>
    <s v="U"/>
    <x v="0"/>
    <s v="U"/>
    <s v="U"/>
    <s v="U"/>
    <s v="U"/>
    <n v="2"/>
    <m/>
    <n v="1.0101010101010102E-2"/>
    <n v="6.9767441860465115E-2"/>
    <n v="0.13953488372093023"/>
    <x v="0"/>
    <x v="0"/>
    <s v="U"/>
  </r>
  <r>
    <n v="26"/>
    <s v="Week 5"/>
    <n v="5"/>
    <n v="5"/>
    <d v="1900-01-03T22:51:00"/>
    <d v="1899-12-30T01:01:00"/>
    <x v="2"/>
    <s v="PR23"/>
    <s v="Same"/>
    <s v="Applications of Financial Statement Analysis"/>
    <n v="1"/>
    <n v="5"/>
    <n v="1"/>
    <n v="2"/>
    <n v="2"/>
    <n v="3"/>
    <n v="3"/>
    <n v="3"/>
    <x v="25"/>
    <n v="36.998028432084681"/>
    <x v="0"/>
    <x v="0"/>
    <s v="U"/>
    <s v="U"/>
    <x v="0"/>
    <s v="U"/>
    <s v="U"/>
    <s v="U"/>
    <s v="U"/>
    <n v="3"/>
    <m/>
    <n v="1.2E-2"/>
    <n v="6.9767441860465115E-2"/>
    <n v="0.20930232558139533"/>
    <x v="0"/>
    <x v="0"/>
    <s v="U"/>
  </r>
  <r>
    <n v="27"/>
    <s v="Week 5"/>
    <n v="5"/>
    <n v="5"/>
    <d v="1900-01-04T02:00:00"/>
    <d v="1899-12-30T03:09:00"/>
    <x v="2"/>
    <n v="38"/>
    <s v="Same"/>
    <s v="Introduction to Financial Statement Modeling"/>
    <n v="1"/>
    <n v="5"/>
    <n v="3"/>
    <n v="2"/>
    <n v="3"/>
    <n v="3"/>
    <n v="4"/>
    <n v="4"/>
    <x v="26"/>
    <n v="37.978624053128577"/>
    <x v="0"/>
    <x v="0"/>
    <s v="U"/>
    <s v="U"/>
    <x v="0"/>
    <s v="U"/>
    <s v="U"/>
    <s v="U"/>
    <s v="U"/>
    <n v="2"/>
    <m/>
    <n v="1.6E-2"/>
    <n v="9.3023255813953487E-2"/>
    <n v="0.18604651162790697"/>
    <x v="0"/>
    <x v="0"/>
    <s v="U"/>
  </r>
  <r>
    <n v="28"/>
    <s v="Week 6"/>
    <n v="6"/>
    <n v="6"/>
    <d v="1900-01-04T04:44:00"/>
    <d v="1899-12-30T02:44:00"/>
    <x v="1"/>
    <n v="20"/>
    <s v="Same"/>
    <s v="Organizational Forms, Corporate Issuer Features, and Ownership"/>
    <n v="1"/>
    <n v="3"/>
    <n v="1"/>
    <n v="1"/>
    <n v="1"/>
    <n v="1"/>
    <n v="2"/>
    <n v="3"/>
    <x v="27"/>
    <n v="38.829511258690474"/>
    <x v="0"/>
    <x v="0"/>
    <s v="U"/>
    <s v="U"/>
    <x v="0"/>
    <s v="U"/>
    <s v="U"/>
    <s v="U"/>
    <s v="U"/>
    <n v="2"/>
    <m/>
    <n v="6.7340067340067337E-3"/>
    <n v="9.0909090909090912E-2"/>
    <n v="0.18181818181818182"/>
    <x v="0"/>
    <x v="0"/>
    <s v="U"/>
  </r>
  <r>
    <n v="29"/>
    <s v="Week 6"/>
    <n v="6"/>
    <n v="6"/>
    <d v="1900-01-04T09:52:00"/>
    <d v="1899-12-30T05:08:00"/>
    <x v="1"/>
    <n v="25"/>
    <s v="Same"/>
    <s v="Capital Structure"/>
    <n v="1"/>
    <n v="4"/>
    <n v="3"/>
    <n v="2"/>
    <n v="3"/>
    <n v="4"/>
    <n v="3"/>
    <n v="4"/>
    <x v="28"/>
    <n v="40.427518937428673"/>
    <x v="0"/>
    <x v="0"/>
    <s v="U"/>
    <s v="U"/>
    <x v="0"/>
    <s v="U"/>
    <s v="U"/>
    <s v="U"/>
    <s v="U"/>
    <n v="2"/>
    <m/>
    <n v="1.2E-2"/>
    <n v="0.13636363636363635"/>
    <n v="0.27272727272727271"/>
    <x v="0"/>
    <x v="0"/>
    <s v="U"/>
  </r>
  <r>
    <n v="30"/>
    <s v="Week 6"/>
    <n v="6"/>
    <n v="6"/>
    <d v="1900-01-04T13:11:00"/>
    <d v="1899-12-30T03:19:00"/>
    <x v="1"/>
    <n v="23"/>
    <s v="Same"/>
    <s v="Working Capital and Liquidity"/>
    <n v="1"/>
    <n v="3"/>
    <n v="4"/>
    <n v="4"/>
    <n v="3"/>
    <n v="2"/>
    <n v="4"/>
    <n v="3"/>
    <x v="29"/>
    <n v="41.459997924665359"/>
    <x v="0"/>
    <x v="0"/>
    <s v="U"/>
    <s v="U"/>
    <x v="0"/>
    <s v="U"/>
    <s v="U"/>
    <s v="U"/>
    <s v="U"/>
    <n v="2"/>
    <m/>
    <n v="1.6E-2"/>
    <n v="0.18181818181818182"/>
    <n v="0.36363636363636365"/>
    <x v="0"/>
    <x v="0"/>
    <s v="U"/>
  </r>
  <r>
    <n v="31"/>
    <s v="Week 6"/>
    <n v="6"/>
    <n v="6"/>
    <d v="1900-01-04T17:14:00"/>
    <d v="1899-12-30T04:03:00"/>
    <x v="1"/>
    <n v="21"/>
    <s v="Same"/>
    <s v="Investors and Other Stakeholders"/>
    <n v="1"/>
    <n v="3"/>
    <n v="1"/>
    <n v="1"/>
    <n v="1"/>
    <n v="1"/>
    <n v="2"/>
    <n v="3"/>
    <x v="30"/>
    <n v="42.72076372315037"/>
    <x v="0"/>
    <x v="0"/>
    <s v="U"/>
    <s v="U"/>
    <x v="0"/>
    <s v="U"/>
    <s v="U"/>
    <s v="U"/>
    <s v="U"/>
    <n v="2"/>
    <m/>
    <n v="6.7340067340067337E-3"/>
    <n v="9.0909090909090912E-2"/>
    <n v="0.18181818181818182"/>
    <x v="0"/>
    <x v="0"/>
    <s v="U"/>
  </r>
  <r>
    <n v="32"/>
    <s v="Week 6"/>
    <n v="6"/>
    <n v="6"/>
    <d v="1900-01-04T20:16:00"/>
    <d v="1899-12-30T03:02:00"/>
    <x v="1"/>
    <n v="22"/>
    <s v="Same"/>
    <s v="Corporate Governance-Conflicts, Mechanisms, Risks, and Benefits"/>
    <n v="1"/>
    <n v="3"/>
    <n v="2"/>
    <n v="1"/>
    <n v="1"/>
    <n v="3"/>
    <n v="3"/>
    <n v="3"/>
    <x v="31"/>
    <n v="43.665040987859307"/>
    <x v="0"/>
    <x v="0"/>
    <s v="U"/>
    <s v="U"/>
    <x v="0"/>
    <s v="U"/>
    <s v="U"/>
    <s v="U"/>
    <s v="U"/>
    <n v="2"/>
    <m/>
    <n v="1.2E-2"/>
    <n v="0.13636363636363635"/>
    <n v="0.27272727272727271"/>
    <x v="0"/>
    <x v="0"/>
    <s v="U"/>
  </r>
  <r>
    <n v="33"/>
    <s v="Week 6"/>
    <n v="6"/>
    <n v="6"/>
    <d v="1900-01-04T22:07:00"/>
    <d v="1899-12-30T01:51:00"/>
    <x v="1"/>
    <n v="26"/>
    <s v="Same"/>
    <s v="Business Models"/>
    <n v="1"/>
    <n v="2"/>
    <n v="2"/>
    <n v="1"/>
    <n v="2"/>
    <n v="3"/>
    <n v="3"/>
    <n v="3"/>
    <x v="32"/>
    <n v="44.240946352599373"/>
    <x v="0"/>
    <x v="0"/>
    <s v="U"/>
    <s v="U"/>
    <x v="0"/>
    <s v="U"/>
    <s v="U"/>
    <s v="U"/>
    <s v="U"/>
    <n v="2"/>
    <m/>
    <n v="1.0101010101010102E-2"/>
    <n v="0.13636363636363635"/>
    <n v="0.27272727272727271"/>
    <x v="0"/>
    <x v="0"/>
    <s v="U"/>
  </r>
  <r>
    <n v="34"/>
    <s v="Week 7"/>
    <n v="7"/>
    <n v="7"/>
    <d v="1900-01-05T11:51:00"/>
    <d v="1899-12-30T13:44:00"/>
    <x v="4"/>
    <s v="66 to 71"/>
    <s v="Same"/>
    <s v="Forwards and Futures"/>
    <n v="6"/>
    <n v="13"/>
    <n v="4"/>
    <n v="4"/>
    <n v="5"/>
    <n v="5"/>
    <n v="5"/>
    <n v="5"/>
    <x v="33"/>
    <n v="48.51613572688597"/>
    <x v="0"/>
    <x v="0"/>
    <s v="U"/>
    <s v="U"/>
    <x v="0"/>
    <s v="U"/>
    <s v="U"/>
    <s v="U"/>
    <s v="U"/>
    <n v="3"/>
    <m/>
    <n v="0.02"/>
    <n v="0.33333333333333331"/>
    <n v="1"/>
    <x v="0"/>
    <x v="0"/>
    <s v="U"/>
  </r>
  <r>
    <n v="35"/>
    <s v="Week 7"/>
    <n v="7"/>
    <n v="7"/>
    <d v="1900-01-05T23:54:00"/>
    <d v="1899-12-30T12:03:00"/>
    <x v="4"/>
    <s v="73 to 75"/>
    <s v="Same"/>
    <s v="Options"/>
    <n v="3"/>
    <n v="7"/>
    <n v="5"/>
    <n v="4"/>
    <n v="5"/>
    <n v="5"/>
    <n v="5"/>
    <n v="5"/>
    <x v="34"/>
    <n v="52.26730310262532"/>
    <x v="0"/>
    <x v="0"/>
    <s v="U"/>
    <s v="U"/>
    <x v="0"/>
    <s v="U"/>
    <s v="U"/>
    <s v="U"/>
    <s v="U"/>
    <n v="2"/>
    <m/>
    <n v="0.02"/>
    <n v="0.33333333333333331"/>
    <n v="0.66666666666666663"/>
    <x v="0"/>
    <x v="0"/>
    <s v="U"/>
  </r>
  <r>
    <n v="36"/>
    <s v="Week 8"/>
    <n v="8"/>
    <n v="8"/>
    <d v="1900-01-06T11:38:00"/>
    <d v="1899-12-30T11:44:00"/>
    <x v="5"/>
    <s v="52,53,55"/>
    <s v="Same"/>
    <s v="Fixed Income Valuation"/>
    <n v="3"/>
    <n v="8"/>
    <n v="5"/>
    <n v="4"/>
    <n v="4"/>
    <n v="5"/>
    <n v="5"/>
    <n v="5"/>
    <x v="35"/>
    <n v="55.919892082598331"/>
    <x v="0"/>
    <x v="0"/>
    <s v="U"/>
    <s v="U"/>
    <x v="0"/>
    <s v="U"/>
    <s v="U"/>
    <s v="U"/>
    <s v="U"/>
    <n v="3"/>
    <m/>
    <n v="1.6835016835016835E-2"/>
    <n v="9.8039215686274508E-2"/>
    <n v="0.29411764705882354"/>
    <x v="0"/>
    <x v="0"/>
    <s v="U"/>
  </r>
  <r>
    <n v="37"/>
    <s v="Week 8"/>
    <n v="8"/>
    <n v="8"/>
    <d v="1900-01-06T13:42:00"/>
    <d v="1899-12-30T02:04:00"/>
    <x v="5"/>
    <n v="54"/>
    <s v="Same"/>
    <s v="Yield and Yield Spread Measures for Floating-Rate Instruments"/>
    <n v="1"/>
    <n v="2"/>
    <n v="3"/>
    <n v="4"/>
    <n v="4"/>
    <n v="5"/>
    <n v="5"/>
    <n v="5"/>
    <x v="36"/>
    <n v="56.563245823389039"/>
    <x v="0"/>
    <x v="0"/>
    <s v="U"/>
    <s v="U"/>
    <x v="0"/>
    <s v="U"/>
    <s v="U"/>
    <s v="U"/>
    <s v="U"/>
    <n v="3"/>
    <m/>
    <n v="1.6835016835016835E-2"/>
    <n v="9.8039215686274508E-2"/>
    <n v="0.29411764705882354"/>
    <x v="0"/>
    <x v="0"/>
    <s v="U"/>
  </r>
  <r>
    <n v="38"/>
    <s v="Week 8"/>
    <n v="8"/>
    <n v="8"/>
    <d v="1900-01-06T23:58:00"/>
    <d v="1899-12-30T10:16:00"/>
    <x v="5"/>
    <s v="56 to 59"/>
    <s v="Same"/>
    <s v="Fixed Income Risk and Return"/>
    <n v="4"/>
    <n v="12"/>
    <n v="5"/>
    <n v="4"/>
    <n v="5"/>
    <n v="5"/>
    <n v="5"/>
    <n v="5"/>
    <x v="37"/>
    <n v="59.75926118086543"/>
    <x v="0"/>
    <x v="0"/>
    <s v="U"/>
    <s v="U"/>
    <x v="0"/>
    <s v="U"/>
    <s v="U"/>
    <s v="U"/>
    <s v="U"/>
    <n v="2"/>
    <m/>
    <n v="1.6835016835016835E-2"/>
    <n v="9.8039215686274508E-2"/>
    <n v="0.19607843137254902"/>
    <x v="0"/>
    <x v="0"/>
    <s v="U"/>
  </r>
  <r>
    <n v="39"/>
    <s v="Week 8"/>
    <n v="8"/>
    <n v="8"/>
    <d v="1900-01-07T01:25:00"/>
    <d v="1899-12-30T01:27:00"/>
    <x v="4"/>
    <n v="72"/>
    <s v="Same"/>
    <s v="Pricing and Valuation of Interest Rates and Other Swaps"/>
    <n v="1"/>
    <n v="2"/>
    <n v="5"/>
    <n v="4"/>
    <n v="5"/>
    <n v="5"/>
    <n v="5"/>
    <n v="5"/>
    <x v="38"/>
    <n v="60.21064646674278"/>
    <x v="0"/>
    <x v="0"/>
    <s v="U"/>
    <s v="U"/>
    <x v="0"/>
    <s v="U"/>
    <s v="U"/>
    <s v="U"/>
    <s v="U"/>
    <n v="2"/>
    <m/>
    <n v="0.02"/>
    <n v="0.33333333333333331"/>
    <n v="0.66666666666666663"/>
    <x v="0"/>
    <x v="0"/>
    <s v="U"/>
  </r>
  <r>
    <n v="40"/>
    <s v="Week 8"/>
    <n v="8"/>
    <n v="8"/>
    <d v="1900-01-07T02:36:00"/>
    <d v="1899-12-30T01:11:00"/>
    <x v="6"/>
    <n v="89"/>
    <s v="Same"/>
    <s v="Ethics and Trust in the Investment Profession"/>
    <n v="1"/>
    <n v="8"/>
    <n v="1"/>
    <n v="1"/>
    <n v="1"/>
    <n v="1"/>
    <n v="1"/>
    <n v="2"/>
    <x v="39"/>
    <n v="60.579018366711658"/>
    <x v="0"/>
    <x v="0"/>
    <s v="U"/>
    <s v="U"/>
    <x v="0"/>
    <s v="U"/>
    <s v="U"/>
    <s v="U"/>
    <s v="U"/>
    <n v="3"/>
    <m/>
    <n v="3.3670033670033669E-3"/>
    <n v="8.3333333333333329E-2"/>
    <n v="0.25"/>
    <x v="0"/>
    <x v="0"/>
    <s v="U"/>
  </r>
  <r>
    <n v="41"/>
    <s v="Week 9"/>
    <n v="9"/>
    <n v="9"/>
    <d v="1900-01-07T08:18:00"/>
    <d v="1899-12-30T05:42:00"/>
    <x v="6"/>
    <s v="90 to 91"/>
    <s v="Same"/>
    <s v="Ethics-Standards and Guidance"/>
    <n v="2"/>
    <n v="6"/>
    <n v="3"/>
    <n v="1"/>
    <n v="4"/>
    <n v="4"/>
    <n v="5"/>
    <n v="5"/>
    <x v="40"/>
    <n v="62.353429490505377"/>
    <x v="0"/>
    <x v="0"/>
    <s v="U"/>
    <s v="U"/>
    <x v="0"/>
    <s v="U"/>
    <s v="U"/>
    <s v="U"/>
    <s v="U"/>
    <n v="2"/>
    <m/>
    <n v="1.6835016835016835E-2"/>
    <n v="0.41666666666666669"/>
    <n v="0.83333333333333337"/>
    <x v="0"/>
    <x v="0"/>
    <s v="U"/>
  </r>
  <r>
    <n v="42"/>
    <s v="Week 9"/>
    <n v="9"/>
    <n v="9"/>
    <d v="1900-01-07T09:21:00"/>
    <d v="1899-12-30T01:03:00"/>
    <x v="6"/>
    <n v="93"/>
    <s v="Same"/>
    <s v="Ethics Application"/>
    <n v="1"/>
    <n v="2"/>
    <n v="1"/>
    <n v="1"/>
    <n v="2"/>
    <n v="4"/>
    <n v="2"/>
    <n v="2"/>
    <x v="41"/>
    <n v="62.680294697519997"/>
    <x v="0"/>
    <x v="0"/>
    <s v="U"/>
    <s v="U"/>
    <x v="0"/>
    <s v="U"/>
    <s v="U"/>
    <s v="U"/>
    <s v="U"/>
    <n v="3"/>
    <m/>
    <n v="6.7340067340067337E-3"/>
    <n v="0.16666666666666666"/>
    <n v="0.5"/>
    <x v="0"/>
    <x v="0"/>
    <s v="U"/>
  </r>
  <r>
    <n v="43"/>
    <s v="Week 9"/>
    <n v="9"/>
    <n v="9"/>
    <d v="1900-01-07T10:15:00"/>
    <d v="1899-12-30T00:54:00"/>
    <x v="6"/>
    <n v="92"/>
    <s v="Same"/>
    <s v="Introduction to the Global Investment Performance Standards"/>
    <n v="1"/>
    <n v="5"/>
    <n v="2"/>
    <n v="1"/>
    <n v="3"/>
    <n v="3"/>
    <n v="4"/>
    <n v="5"/>
    <x v="42"/>
    <n v="62.960464874961112"/>
    <x v="0"/>
    <x v="0"/>
    <s v="U"/>
    <s v="U"/>
    <x v="0"/>
    <s v="U"/>
    <s v="U"/>
    <s v="U"/>
    <s v="U"/>
    <n v="3"/>
    <m/>
    <n v="1.3468013468013467E-2"/>
    <n v="0.33333333333333331"/>
    <n v="1"/>
    <x v="0"/>
    <x v="0"/>
    <s v="U"/>
  </r>
  <r>
    <n v="44"/>
    <s v="Week 9"/>
    <n v="9"/>
    <n v="9"/>
    <d v="1900-01-07T11:48:00"/>
    <d v="1899-12-30T01:33:00"/>
    <x v="5"/>
    <n v="47"/>
    <s v="Same"/>
    <s v="Fixed-Income Instrument Features"/>
    <n v="1"/>
    <n v="2"/>
    <n v="3"/>
    <n v="1"/>
    <n v="3"/>
    <n v="3"/>
    <n v="3"/>
    <n v="3"/>
    <x v="43"/>
    <n v="63.44298018055413"/>
    <x v="0"/>
    <x v="0"/>
    <s v="U"/>
    <s v="U"/>
    <x v="0"/>
    <s v="U"/>
    <s v="U"/>
    <s v="U"/>
    <s v="U"/>
    <n v="3"/>
    <m/>
    <n v="1.0101010101010102E-2"/>
    <n v="5.8823529411764705E-2"/>
    <n v="0.1764705882352941"/>
    <x v="0"/>
    <x v="0"/>
    <s v="U"/>
  </r>
  <r>
    <n v="45"/>
    <s v="Week 9"/>
    <n v="9"/>
    <n v="9"/>
    <d v="1900-01-07T16:42:00"/>
    <d v="1899-12-30T04:54:00"/>
    <x v="5"/>
    <n v="60"/>
    <s v="Same"/>
    <s v="Credit Risk"/>
    <n v="1"/>
    <n v="3"/>
    <n v="4"/>
    <n v="2"/>
    <n v="3"/>
    <n v="3"/>
    <n v="3"/>
    <n v="3"/>
    <x v="44"/>
    <n v="64.96835114662241"/>
    <x v="0"/>
    <x v="0"/>
    <s v="U"/>
    <s v="U"/>
    <x v="0"/>
    <s v="U"/>
    <s v="U"/>
    <s v="U"/>
    <s v="U"/>
    <n v="2"/>
    <m/>
    <n v="1.0101010101010102E-2"/>
    <n v="5.8823529411764705E-2"/>
    <n v="0.11764705882352941"/>
    <x v="0"/>
    <x v="0"/>
    <s v="U"/>
  </r>
  <r>
    <n v="46"/>
    <s v="Week 9"/>
    <n v="9"/>
    <n v="9"/>
    <d v="1900-01-07T17:44:00"/>
    <d v="1899-12-30T01:02:00"/>
    <x v="5"/>
    <n v="61"/>
    <s v="Same"/>
    <s v="Credit Analysis for Government Issuers"/>
    <n v="1"/>
    <n v="1"/>
    <n v="4"/>
    <n v="2"/>
    <n v="3"/>
    <n v="3"/>
    <n v="3"/>
    <n v="3"/>
    <x v="45"/>
    <n v="65.290028017017775"/>
    <x v="0"/>
    <x v="0"/>
    <s v="U"/>
    <s v="U"/>
    <x v="0"/>
    <s v="U"/>
    <s v="U"/>
    <s v="U"/>
    <s v="U"/>
    <n v="2"/>
    <m/>
    <n v="1.2E-2"/>
    <n v="5.8823529411764705E-2"/>
    <n v="0.11764705882352941"/>
    <x v="0"/>
    <x v="0"/>
    <s v="U"/>
  </r>
  <r>
    <n v="47"/>
    <s v="Week 9"/>
    <n v="9"/>
    <n v="9"/>
    <d v="1900-01-07T19:47:00"/>
    <d v="1899-12-30T02:03:00"/>
    <x v="5"/>
    <n v="62"/>
    <s v="Same"/>
    <s v="Credit Analysis for Corporate Issuers"/>
    <n v="1"/>
    <n v="3"/>
    <n v="4"/>
    <n v="2"/>
    <n v="3"/>
    <n v="3"/>
    <n v="3"/>
    <n v="3"/>
    <x v="46"/>
    <n v="65.928193421189206"/>
    <x v="0"/>
    <x v="0"/>
    <s v="U"/>
    <s v="U"/>
    <x v="0"/>
    <s v="U"/>
    <s v="U"/>
    <s v="U"/>
    <s v="U"/>
    <n v="3"/>
    <m/>
    <n v="1.2E-2"/>
    <n v="5.8823529411764705E-2"/>
    <n v="0.1764705882352941"/>
    <x v="0"/>
    <x v="0"/>
    <s v="U"/>
  </r>
  <r>
    <n v="48"/>
    <s v="Week 10"/>
    <n v="10"/>
    <n v="10"/>
    <d v="1900-01-08T14:46:00"/>
    <d v="1899-12-30T02:17:00"/>
    <x v="5"/>
    <n v="64"/>
    <s v="Same"/>
    <s v="Asset-Backed Security Instrument and Market Features"/>
    <n v="1"/>
    <n v="4"/>
    <n v="5"/>
    <n v="2"/>
    <n v="5"/>
    <n v="5"/>
    <n v="4"/>
    <n v="5"/>
    <x v="47"/>
    <n v="66.638995538030542"/>
    <x v="0"/>
    <x v="0"/>
    <s v="U"/>
    <s v="U"/>
    <x v="0"/>
    <s v="U"/>
    <s v="U"/>
    <s v="U"/>
    <s v="U"/>
    <n v="3"/>
    <m/>
    <n v="1.3468013468013467E-2"/>
    <n v="7.8431372549019607E-2"/>
    <n v="0.23529411764705882"/>
    <x v="0"/>
    <x v="0"/>
    <s v="U"/>
  </r>
  <r>
    <n v="49"/>
    <s v="Week 9"/>
    <n v="9"/>
    <n v="8"/>
    <d v="1900-01-08T01:53:00"/>
    <d v="1899-12-30T03:49:00"/>
    <x v="5"/>
    <n v="48"/>
    <s v="Same"/>
    <s v="Fixed-Income Cash Flows and Types"/>
    <n v="1"/>
    <n v="2"/>
    <n v="3"/>
    <n v="1"/>
    <n v="3"/>
    <n v="3"/>
    <n v="3"/>
    <n v="3"/>
    <x v="48"/>
    <n v="67.82712462384562"/>
    <x v="0"/>
    <x v="0"/>
    <s v="U"/>
    <s v="U"/>
    <x v="0"/>
    <s v="U"/>
    <s v="U"/>
    <s v="U"/>
    <s v="U"/>
    <n v="3"/>
    <m/>
    <n v="1.2E-2"/>
    <n v="5.8823529411764705E-2"/>
    <n v="0.1764705882352941"/>
    <x v="0"/>
    <x v="0"/>
    <s v="U"/>
  </r>
  <r>
    <n v="50"/>
    <s v="Week 9"/>
    <n v="9"/>
    <n v="9"/>
    <d v="1900-01-08T03:41:00"/>
    <d v="1899-12-30T01:48:00"/>
    <x v="5"/>
    <n v="49"/>
    <s v="Same"/>
    <s v="Fixed-Income Issuance and Trading"/>
    <n v="1"/>
    <n v="3"/>
    <n v="2"/>
    <n v="1"/>
    <n v="3"/>
    <n v="3"/>
    <n v="3"/>
    <n v="3"/>
    <x v="49"/>
    <n v="68.387464978727849"/>
    <x v="0"/>
    <x v="0"/>
    <s v="U"/>
    <s v="U"/>
    <x v="0"/>
    <s v="U"/>
    <s v="U"/>
    <s v="U"/>
    <s v="U"/>
    <n v="3"/>
    <m/>
    <n v="1.2E-2"/>
    <n v="5.8823529411764705E-2"/>
    <n v="0.1764705882352941"/>
    <x v="0"/>
    <x v="0"/>
    <s v="U"/>
  </r>
  <r>
    <n v="51"/>
    <s v="Week 10"/>
    <n v="10"/>
    <n v="10"/>
    <d v="1900-01-08T06:30:00"/>
    <d v="1899-12-30T02:49:00"/>
    <x v="5"/>
    <n v="50"/>
    <s v="Same"/>
    <s v="Fixed-Income Markets for Corporate Issuers"/>
    <n v="1"/>
    <n v="3"/>
    <n v="2"/>
    <n v="1"/>
    <n v="3"/>
    <n v="3"/>
    <n v="3"/>
    <n v="3"/>
    <x v="50"/>
    <n v="69.264293867386144"/>
    <x v="0"/>
    <x v="0"/>
    <s v="U"/>
    <s v="U"/>
    <x v="0"/>
    <s v="U"/>
    <s v="U"/>
    <s v="U"/>
    <s v="U"/>
    <n v="3"/>
    <m/>
    <n v="1.2E-2"/>
    <n v="5.8823529411764705E-2"/>
    <n v="0.1764705882352941"/>
    <x v="0"/>
    <x v="0"/>
    <s v="U"/>
  </r>
  <r>
    <n v="52"/>
    <s v="Week 10"/>
    <n v="10"/>
    <n v="10"/>
    <d v="1900-01-08T09:03:00"/>
    <d v="1899-12-30T02:33:00"/>
    <x v="5"/>
    <n v="51"/>
    <s v="Same"/>
    <s v="Fixed-Income Markets for Government Issuers"/>
    <n v="1"/>
    <n v="2"/>
    <n v="2"/>
    <n v="1"/>
    <n v="3"/>
    <n v="3"/>
    <n v="3"/>
    <n v="3"/>
    <x v="51"/>
    <n v="70.058109370135952"/>
    <x v="0"/>
    <x v="0"/>
    <s v="U"/>
    <s v="U"/>
    <x v="0"/>
    <s v="U"/>
    <s v="U"/>
    <s v="U"/>
    <s v="U"/>
    <n v="2"/>
    <m/>
    <n v="1.0101010101010102E-2"/>
    <n v="5.8823529411764705E-2"/>
    <n v="0.11764705882352941"/>
    <x v="0"/>
    <x v="0"/>
    <s v="U"/>
  </r>
  <r>
    <n v="53"/>
    <s v="Week 10"/>
    <n v="10"/>
    <n v="10"/>
    <d v="1900-01-08T11:31:00"/>
    <d v="1899-12-30T02:28:00"/>
    <x v="5"/>
    <n v="63"/>
    <s v="Same"/>
    <s v="Fixed-Income Securitization"/>
    <n v="1"/>
    <n v="2"/>
    <n v="5"/>
    <n v="2"/>
    <n v="5"/>
    <n v="5"/>
    <n v="4"/>
    <n v="5"/>
    <x v="52"/>
    <n v="70.825983189789383"/>
    <x v="0"/>
    <x v="0"/>
    <s v="U"/>
    <s v="U"/>
    <x v="0"/>
    <s v="U"/>
    <s v="U"/>
    <s v="U"/>
    <s v="U"/>
    <n v="2"/>
    <m/>
    <n v="1.3468013468013467E-2"/>
    <n v="7.8431372549019607E-2"/>
    <n v="0.15686274509803921"/>
    <x v="0"/>
    <x v="0"/>
    <s v="U"/>
  </r>
  <r>
    <n v="54"/>
    <s v="Week 10"/>
    <n v="10"/>
    <n v="10"/>
    <d v="1900-01-08T14:46:00"/>
    <d v="1899-12-30T03:15:00"/>
    <x v="5"/>
    <n v="65"/>
    <s v="Same"/>
    <s v="Mortgage-Backed Security Instrument and Market Features"/>
    <n v="1"/>
    <n v="4"/>
    <n v="5"/>
    <n v="2"/>
    <n v="5"/>
    <n v="5"/>
    <n v="4"/>
    <n v="5"/>
    <x v="53"/>
    <n v="71.837708830548934"/>
    <x v="0"/>
    <x v="0"/>
    <s v="U"/>
    <s v="U"/>
    <x v="0"/>
    <s v="U"/>
    <s v="U"/>
    <s v="U"/>
    <s v="U"/>
    <n v="2"/>
    <m/>
    <n v="1.3468013468013467E-2"/>
    <n v="7.8431372549019607E-2"/>
    <n v="0.15686274509803921"/>
    <x v="0"/>
    <x v="0"/>
    <s v="U"/>
  </r>
  <r>
    <n v="55"/>
    <s v="Week 10"/>
    <n v="10"/>
    <n v="10"/>
    <d v="1900-01-08T16:42:00"/>
    <d v="1899-12-30T01:56:00"/>
    <x v="7"/>
    <n v="16"/>
    <s v="Same"/>
    <s v="Introduction to Geopolitics"/>
    <n v="1"/>
    <n v="6"/>
    <n v="2"/>
    <n v="1"/>
    <n v="2"/>
    <n v="3"/>
    <n v="3"/>
    <n v="3"/>
    <x v="54"/>
    <n v="72.439555878385406"/>
    <x v="0"/>
    <x v="0"/>
    <s v="U"/>
    <s v="U"/>
    <x v="0"/>
    <s v="U"/>
    <s v="U"/>
    <s v="U"/>
    <s v="U"/>
    <n v="2"/>
    <m/>
    <n v="1.0101010101010102E-2"/>
    <n v="0.10344827586206896"/>
    <n v="0.20689655172413793"/>
    <x v="0"/>
    <x v="0"/>
    <s v="U"/>
  </r>
  <r>
    <n v="56"/>
    <s v="Week 10"/>
    <n v="10"/>
    <n v="10"/>
    <d v="1900-01-08T19:59:00"/>
    <d v="1899-12-30T03:17:00"/>
    <x v="7"/>
    <s v="17,PR13"/>
    <s v="Same"/>
    <s v="International Trade and Capital Flows"/>
    <n v="2"/>
    <n v="9"/>
    <n v="4"/>
    <n v="3"/>
    <n v="4"/>
    <n v="3"/>
    <n v="4"/>
    <n v="3"/>
    <x v="55"/>
    <n v="73.461658192383553"/>
    <x v="0"/>
    <x v="0"/>
    <s v="U"/>
    <s v="U"/>
    <x v="0"/>
    <s v="U"/>
    <s v="U"/>
    <s v="U"/>
    <s v="U"/>
    <n v="2"/>
    <m/>
    <n v="1.6E-2"/>
    <n v="0.13793103448275862"/>
    <n v="0.27586206896551724"/>
    <x v="0"/>
    <x v="0"/>
    <s v="U"/>
  </r>
  <r>
    <n v="57"/>
    <s v="Week 10"/>
    <n v="10"/>
    <n v="10"/>
    <d v="1900-01-09T00:25:00"/>
    <d v="1899-12-30T04:26:00"/>
    <x v="7"/>
    <s v="18,19,PR14"/>
    <s v="Same"/>
    <s v="Currency Exchange Rate"/>
    <n v="3"/>
    <n v="9"/>
    <n v="4"/>
    <n v="4"/>
    <n v="5"/>
    <n v="5"/>
    <n v="5"/>
    <n v="4"/>
    <x v="56"/>
    <n v="74.841755733111981"/>
    <x v="0"/>
    <x v="0"/>
    <s v="U"/>
    <s v="U"/>
    <x v="0"/>
    <s v="U"/>
    <s v="U"/>
    <s v="U"/>
    <s v="U"/>
    <n v="3"/>
    <m/>
    <n v="0.02"/>
    <n v="0.17241379310344829"/>
    <n v="0.51724137931034486"/>
    <x v="0"/>
    <x v="0"/>
    <s v="U"/>
  </r>
  <r>
    <n v="58"/>
    <s v="Week 11"/>
    <n v="11"/>
    <n v="11"/>
    <d v="1900-01-09T09:41:00"/>
    <d v="1899-12-30T09:16:00"/>
    <x v="8"/>
    <s v="83-84"/>
    <s v="Same"/>
    <s v="Portfolio Risk and Return-I and II"/>
    <n v="2"/>
    <n v="16"/>
    <n v="5"/>
    <n v="4"/>
    <n v="5"/>
    <n v="4"/>
    <n v="5"/>
    <n v="4"/>
    <x v="57"/>
    <n v="77.726470893431582"/>
    <x v="0"/>
    <x v="0"/>
    <s v="U"/>
    <s v="U"/>
    <x v="0"/>
    <s v="U"/>
    <s v="U"/>
    <s v="U"/>
    <s v="U"/>
    <n v="2"/>
    <m/>
    <n v="0.02"/>
    <n v="0.25"/>
    <n v="0.5"/>
    <x v="0"/>
    <x v="0"/>
    <s v="U"/>
  </r>
  <r>
    <n v="59"/>
    <s v="Week 11"/>
    <n v="11"/>
    <n v="11"/>
    <d v="1900-01-09T14:11:00"/>
    <d v="1899-12-30T04:30:00"/>
    <x v="7"/>
    <s v="12,PR8"/>
    <s v="Same"/>
    <s v="Demand and Supply, Market Structures"/>
    <n v="1.5"/>
    <n v="10"/>
    <n v="4"/>
    <n v="2"/>
    <n v="2"/>
    <n v="2"/>
    <n v="3"/>
    <n v="3"/>
    <x v="58"/>
    <n v="79.127321780637146"/>
    <x v="0"/>
    <x v="0"/>
    <s v="U"/>
    <s v="U"/>
    <x v="0"/>
    <s v="U"/>
    <s v="U"/>
    <s v="U"/>
    <s v="U"/>
    <n v="3"/>
    <m/>
    <n v="1.2E-2"/>
    <n v="0.10344827586206896"/>
    <n v="0.31034482758620691"/>
    <x v="0"/>
    <x v="0"/>
    <s v="U"/>
  </r>
  <r>
    <n v="60"/>
    <s v="Week 11"/>
    <n v="11"/>
    <n v="11"/>
    <d v="1900-01-09T18:41:00"/>
    <d v="1899-12-30T04:30:00"/>
    <x v="7"/>
    <s v="12,PR9"/>
    <s v="Same"/>
    <s v="Market Organization and Structures"/>
    <n v="1.5"/>
    <n v="11"/>
    <n v="5"/>
    <n v="2"/>
    <n v="3"/>
    <n v="2"/>
    <n v="4"/>
    <n v="3"/>
    <x v="58"/>
    <n v="80.528172667842711"/>
    <x v="0"/>
    <x v="0"/>
    <s v="U"/>
    <s v="U"/>
    <x v="0"/>
    <s v="U"/>
    <s v="U"/>
    <s v="U"/>
    <s v="U"/>
    <n v="3"/>
    <m/>
    <n v="1.6E-2"/>
    <n v="0.13793103448275862"/>
    <n v="0.41379310344827586"/>
    <x v="0"/>
    <x v="0"/>
    <s v="U"/>
  </r>
  <r>
    <n v="61"/>
    <s v="Week 11"/>
    <n v="11"/>
    <n v="11"/>
    <d v="1900-01-10T00:44:00"/>
    <d v="1899-12-30T06:03:00"/>
    <x v="7"/>
    <s v="PR10"/>
    <s v="Same"/>
    <s v="Aggregate Output, Prices, and Economic Growth"/>
    <n v="1"/>
    <n v="15"/>
    <n v="4"/>
    <n v="2"/>
    <n v="4"/>
    <n v="4"/>
    <n v="3"/>
    <n v="4"/>
    <x v="59"/>
    <n v="82.411538860641301"/>
    <x v="0"/>
    <x v="0"/>
    <s v="U"/>
    <s v="U"/>
    <x v="0"/>
    <s v="U"/>
    <s v="U"/>
    <s v="U"/>
    <s v="U"/>
    <n v="3"/>
    <m/>
    <n v="1.2E-2"/>
    <n v="0.10344827586206896"/>
    <n v="0.31034482758620691"/>
    <x v="0"/>
    <x v="0"/>
    <s v="U"/>
  </r>
  <r>
    <n v="62"/>
    <s v="Week 11"/>
    <n v="11"/>
    <n v="11"/>
    <d v="1900-01-10T04:09:00"/>
    <d v="1899-12-30T03:25:00"/>
    <x v="8"/>
    <n v="85"/>
    <s v="Same"/>
    <s v="Portfolio Management-An Overview"/>
    <n v="1"/>
    <n v="6"/>
    <n v="2"/>
    <n v="1"/>
    <n v="2"/>
    <n v="2"/>
    <n v="3"/>
    <n v="3"/>
    <x v="60"/>
    <n v="83.475147867593662"/>
    <x v="0"/>
    <x v="0"/>
    <s v="U"/>
    <s v="U"/>
    <x v="0"/>
    <s v="U"/>
    <s v="U"/>
    <s v="U"/>
    <s v="U"/>
    <n v="2"/>
    <m/>
    <n v="1.2E-2"/>
    <n v="0.15"/>
    <n v="0.3"/>
    <x v="0"/>
    <x v="0"/>
    <s v="U"/>
  </r>
  <r>
    <n v="63"/>
    <s v="Week 11"/>
    <n v="11"/>
    <n v="11"/>
    <d v="1900-01-10T06:39:00"/>
    <d v="1899-12-30T02:30:00"/>
    <x v="8"/>
    <n v="86"/>
    <s v="Same"/>
    <s v="Basics of Portfolio Planning and Construction"/>
    <n v="1"/>
    <n v="8"/>
    <n v="2"/>
    <n v="1"/>
    <n v="3"/>
    <n v="2"/>
    <n v="4"/>
    <n v="3"/>
    <x v="61"/>
    <n v="84.253398360485647"/>
    <x v="0"/>
    <x v="0"/>
    <s v="U"/>
    <s v="U"/>
    <x v="0"/>
    <s v="U"/>
    <s v="U"/>
    <s v="U"/>
    <s v="U"/>
    <n v="3"/>
    <m/>
    <n v="1.6E-2"/>
    <n v="0.2"/>
    <n v="0.60000000000000009"/>
    <x v="0"/>
    <x v="0"/>
    <s v="U"/>
  </r>
  <r>
    <n v="64"/>
    <s v="Week 12"/>
    <n v="12"/>
    <n v="12"/>
    <d v="1900-01-10T10:03:00"/>
    <d v="1899-12-30T03:24:00"/>
    <x v="8"/>
    <n v="87"/>
    <s v="Same"/>
    <s v="The Behavioral Biases of Individuals"/>
    <n v="1"/>
    <n v="3"/>
    <n v="2"/>
    <n v="1"/>
    <n v="3"/>
    <n v="4"/>
    <n v="4"/>
    <n v="4"/>
    <x v="13"/>
    <n v="85.311819030818754"/>
    <x v="0"/>
    <x v="0"/>
    <s v="U"/>
    <s v="U"/>
    <x v="0"/>
    <s v="U"/>
    <s v="U"/>
    <s v="U"/>
    <s v="U"/>
    <n v="3"/>
    <m/>
    <n v="1.6E-2"/>
    <n v="0.2"/>
    <n v="0.60000000000000009"/>
    <x v="0"/>
    <x v="0"/>
    <s v="U"/>
  </r>
  <r>
    <n v="65"/>
    <s v="Week 12"/>
    <n v="12"/>
    <n v="12"/>
    <d v="1900-01-10T11:16:00"/>
    <d v="1899-12-30T01:13:00"/>
    <x v="0"/>
    <n v="11"/>
    <s v="Same"/>
    <s v="Introduction to Big Data Techniques"/>
    <n v="1"/>
    <n v="3"/>
    <n v="3"/>
    <n v="1"/>
    <n v="3"/>
    <n v="3"/>
    <n v="2"/>
    <n v="3"/>
    <x v="62"/>
    <n v="85.690567604026171"/>
    <x v="0"/>
    <x v="0"/>
    <s v="U"/>
    <s v="U"/>
    <x v="0"/>
    <s v="U"/>
    <s v="U"/>
    <s v="U"/>
    <s v="U"/>
    <n v="2"/>
    <m/>
    <n v="6.7340067340067337E-3"/>
    <n v="4.5454545454545456E-2"/>
    <n v="9.0909090909090912E-2"/>
    <x v="0"/>
    <x v="0"/>
    <s v="U"/>
  </r>
  <r>
    <n v="66"/>
    <s v="Week 12"/>
    <n v="12"/>
    <n v="12"/>
    <d v="1900-01-10T12:51:00"/>
    <d v="1899-12-30T01:35:00"/>
    <x v="8"/>
    <n v="88"/>
    <s v="Same"/>
    <s v="Introduction to Risk Management"/>
    <n v="1"/>
    <n v="7"/>
    <n v="4"/>
    <n v="1"/>
    <n v="4"/>
    <n v="4"/>
    <n v="4"/>
    <n v="3"/>
    <x v="63"/>
    <n v="86.183459582857751"/>
    <x v="0"/>
    <x v="0"/>
    <s v="U"/>
    <s v="U"/>
    <x v="0"/>
    <s v="U"/>
    <s v="U"/>
    <s v="U"/>
    <s v="U"/>
    <n v="3"/>
    <m/>
    <n v="1.6E-2"/>
    <n v="0.2"/>
    <n v="0.60000000000000009"/>
    <x v="0"/>
    <x v="0"/>
    <s v="U"/>
  </r>
  <r>
    <n v="67"/>
    <s v="Week 12"/>
    <n v="12"/>
    <n v="12"/>
    <d v="1900-01-10T17:21:00"/>
    <d v="1899-12-30T04:30:00"/>
    <x v="7"/>
    <s v="13,PR11"/>
    <s v="Same"/>
    <s v="Introduction to Business Cycles"/>
    <n v="2"/>
    <n v="9"/>
    <n v="3"/>
    <n v="2"/>
    <n v="4"/>
    <n v="4"/>
    <n v="4"/>
    <n v="4"/>
    <x v="58"/>
    <n v="87.584310470063315"/>
    <x v="0"/>
    <x v="0"/>
    <s v="U"/>
    <s v="U"/>
    <x v="0"/>
    <s v="U"/>
    <s v="U"/>
    <s v="U"/>
    <s v="U"/>
    <n v="3"/>
    <m/>
    <n v="1.6E-2"/>
    <n v="0.13793103448275862"/>
    <n v="0.41379310344827586"/>
    <x v="0"/>
    <x v="0"/>
    <s v="U"/>
  </r>
  <r>
    <n v="68"/>
    <s v="Week 12"/>
    <n v="12"/>
    <n v="12"/>
    <d v="1900-01-11T00:05:00"/>
    <d v="1899-12-30T06:44:00"/>
    <x v="7"/>
    <s v="14,15,PR12"/>
    <s v="Same"/>
    <s v="Monetary and Fiscal Policy"/>
    <n v="3"/>
    <n v="14"/>
    <n v="4"/>
    <n v="2"/>
    <n v="4"/>
    <n v="4"/>
    <n v="3"/>
    <n v="4"/>
    <x v="64"/>
    <n v="89.680398464252377"/>
    <x v="0"/>
    <x v="0"/>
    <s v="U"/>
    <s v="U"/>
    <x v="0"/>
    <s v="U"/>
    <s v="U"/>
    <s v="U"/>
    <s v="U"/>
    <n v="2"/>
    <m/>
    <n v="1.2E-2"/>
    <n v="0.10344827586206896"/>
    <n v="0.20689655172413793"/>
    <x v="0"/>
    <x v="0"/>
    <s v="U"/>
  </r>
  <r>
    <n v="69"/>
    <s v="Week 12"/>
    <n v="12"/>
    <n v="12"/>
    <d v="1900-01-11T05:35:00"/>
    <d v="1899-12-30T05:30:00"/>
    <x v="9"/>
    <n v="44"/>
    <s v="Same"/>
    <s v="Industry and Competitive Analysis"/>
    <n v="1"/>
    <n v="5"/>
    <n v="3"/>
    <n v="1"/>
    <n v="2"/>
    <n v="2"/>
    <n v="4"/>
    <n v="3"/>
    <x v="65"/>
    <n v="91.392549548614724"/>
    <x v="0"/>
    <x v="0"/>
    <s v="U"/>
    <s v="U"/>
    <x v="0"/>
    <s v="U"/>
    <s v="U"/>
    <s v="U"/>
    <s v="U"/>
    <n v="3"/>
    <m/>
    <n v="1.6E-2"/>
    <n v="0.12903225806451613"/>
    <n v="0.38709677419354838"/>
    <x v="0"/>
    <x v="0"/>
    <s v="U"/>
  </r>
  <r>
    <n v="70"/>
    <s v="Week 13"/>
    <n v="13"/>
    <n v="13"/>
    <d v="1900-01-11T09:42:00"/>
    <d v="1899-12-30T04:07:00"/>
    <x v="9"/>
    <n v="43"/>
    <s v="Same"/>
    <s v="Company Analysis-Past and Present"/>
    <n v="1"/>
    <n v="5"/>
    <n v="3"/>
    <n v="3"/>
    <n v="3"/>
    <n v="3"/>
    <n v="4"/>
    <n v="4"/>
    <x v="66"/>
    <n v="92.674068693576857"/>
    <x v="0"/>
    <x v="0"/>
    <s v="U"/>
    <s v="U"/>
    <x v="0"/>
    <s v="U"/>
    <s v="U"/>
    <s v="U"/>
    <s v="U"/>
    <n v="2"/>
    <m/>
    <n v="1.6E-2"/>
    <n v="0.12903225806451613"/>
    <n v="0.25806451612903225"/>
    <x v="0"/>
    <x v="0"/>
    <s v="U"/>
  </r>
  <r>
    <n v="71"/>
    <s v="Week 13"/>
    <n v="13"/>
    <n v="13"/>
    <d v="1900-01-11T13:32:00"/>
    <d v="1899-12-30T03:50:00"/>
    <x v="9"/>
    <n v="45"/>
    <s v="Same"/>
    <s v="Company Analysis-Forecasting"/>
    <n v="1"/>
    <n v="5"/>
    <n v="3"/>
    <n v="2"/>
    <n v="3"/>
    <n v="3"/>
    <n v="4"/>
    <n v="4"/>
    <x v="11"/>
    <n v="93.867386116011204"/>
    <x v="0"/>
    <x v="0"/>
    <s v="U"/>
    <s v="U"/>
    <x v="0"/>
    <s v="U"/>
    <s v="U"/>
    <s v="U"/>
    <s v="U"/>
    <n v="2"/>
    <m/>
    <n v="1.6E-2"/>
    <n v="0.12903225806451613"/>
    <n v="0.25806451612903225"/>
    <x v="0"/>
    <x v="0"/>
    <s v="U"/>
  </r>
  <r>
    <n v="72"/>
    <s v="Week 13"/>
    <n v="13"/>
    <n v="13"/>
    <d v="1900-01-11T20:57:00"/>
    <d v="1899-12-30T07:25:00"/>
    <x v="9"/>
    <n v="46"/>
    <s v="Same"/>
    <s v="Equity Valuation-Concepts and Basic Tools"/>
    <n v="1"/>
    <n v="13"/>
    <n v="5"/>
    <n v="4"/>
    <n v="4"/>
    <n v="4"/>
    <n v="5"/>
    <n v="4"/>
    <x v="67"/>
    <n v="96.176195911590753"/>
    <x v="0"/>
    <x v="0"/>
    <s v="U"/>
    <s v="U"/>
    <x v="0"/>
    <s v="U"/>
    <s v="U"/>
    <s v="U"/>
    <s v="U"/>
    <n v="2"/>
    <m/>
    <n v="0.02"/>
    <n v="0.16129032258064516"/>
    <n v="0.32258064516129031"/>
    <x v="0"/>
    <x v="0"/>
    <s v="U"/>
  </r>
  <r>
    <n v="73"/>
    <s v="Week 13"/>
    <n v="13"/>
    <n v="13"/>
    <d v="1900-01-12T01:55:00"/>
    <d v="1899-12-30T04:58:00"/>
    <x v="9"/>
    <n v="39"/>
    <s v="Same"/>
    <s v="Market Organization and Structure"/>
    <n v="1"/>
    <n v="12"/>
    <n v="4"/>
    <n v="2"/>
    <n v="2"/>
    <n v="2"/>
    <n v="3"/>
    <n v="4"/>
    <x v="68"/>
    <n v="97.722320224136155"/>
    <x v="0"/>
    <x v="0"/>
    <s v="U"/>
    <s v="U"/>
    <x v="0"/>
    <s v="U"/>
    <s v="U"/>
    <s v="U"/>
    <s v="U"/>
    <n v="3"/>
    <m/>
    <n v="1.2E-2"/>
    <n v="9.6774193548387094E-2"/>
    <n v="0.29032258064516125"/>
    <x v="0"/>
    <x v="0"/>
    <s v="U"/>
  </r>
  <r>
    <n v="74"/>
    <s v="Week 13"/>
    <n v="13"/>
    <n v="13"/>
    <d v="1900-01-12T04:00:00"/>
    <d v="1899-12-30T02:05:00"/>
    <x v="9"/>
    <n v="42"/>
    <s v="Same"/>
    <s v="Overview of Equity Securities"/>
    <n v="1"/>
    <n v="8"/>
    <n v="2"/>
    <n v="1"/>
    <n v="2"/>
    <n v="1"/>
    <n v="3"/>
    <n v="4"/>
    <x v="3"/>
    <n v="98.370862301546126"/>
    <x v="0"/>
    <x v="0"/>
    <s v="U"/>
    <s v="U"/>
    <x v="0"/>
    <s v="U"/>
    <s v="U"/>
    <s v="U"/>
    <s v="U"/>
    <n v="2"/>
    <m/>
    <n v="1.2E-2"/>
    <n v="9.6774193548387094E-2"/>
    <n v="0.19354838709677419"/>
    <x v="0"/>
    <x v="0"/>
    <s v="U"/>
  </r>
  <r>
    <n v="75"/>
    <s v="Week 13"/>
    <n v="13"/>
    <n v="13"/>
    <d v="1900-01-12T06:28:00"/>
    <d v="1899-12-30T02:28:00"/>
    <x v="9"/>
    <n v="40"/>
    <s v="Same"/>
    <s v="Security Market Indexes"/>
    <n v="1"/>
    <n v="11"/>
    <n v="3"/>
    <n v="4"/>
    <n v="4"/>
    <n v="4"/>
    <n v="4"/>
    <n v="4"/>
    <x v="52"/>
    <n v="99.138736121199543"/>
    <x v="0"/>
    <x v="0"/>
    <s v="U"/>
    <s v="U"/>
    <x v="0"/>
    <s v="U"/>
    <s v="U"/>
    <s v="U"/>
    <s v="U"/>
    <n v="2"/>
    <m/>
    <n v="1.6E-2"/>
    <n v="0.12903225806451613"/>
    <n v="0.25806451612903225"/>
    <x v="0"/>
    <x v="0"/>
    <s v="U"/>
  </r>
  <r>
    <n v="76"/>
    <s v="Week 13"/>
    <n v="13"/>
    <n v="13"/>
    <d v="1900-01-12T09:12:00"/>
    <d v="1899-12-30T02:44:00"/>
    <x v="9"/>
    <n v="41"/>
    <s v="Same"/>
    <s v="Market Efficiency"/>
    <n v="1"/>
    <n v="7"/>
    <n v="2"/>
    <n v="1"/>
    <n v="4"/>
    <n v="3"/>
    <n v="4"/>
    <n v="4"/>
    <x v="27"/>
    <n v="99.989623326761446"/>
    <x v="0"/>
    <x v="0"/>
    <s v="U"/>
    <s v="U"/>
    <x v="0"/>
    <s v="U"/>
    <s v="U"/>
    <s v="U"/>
    <s v="U"/>
    <n v="3"/>
    <m/>
    <n v="1.6E-2"/>
    <n v="0.12903225806451613"/>
    <n v="0.38709677419354838"/>
    <x v="0"/>
    <x v="0"/>
    <s v="U"/>
  </r>
  <r>
    <n v="77"/>
    <s v="Week 13"/>
    <n v="13"/>
    <n v="13"/>
    <d v="1900-01-12T09:14:00"/>
    <d v="1899-12-30T00:02:00"/>
    <x v="0"/>
    <n v="2"/>
    <s v="Same"/>
    <s v="Time Value of Money in Finance"/>
    <n v="1"/>
    <n v="3"/>
    <n v="4"/>
    <n v="5"/>
    <n v="4"/>
    <n v="5"/>
    <n v="5"/>
    <n v="4"/>
    <x v="69"/>
    <n v="100"/>
    <x v="0"/>
    <x v="0"/>
    <s v="U"/>
    <s v="U"/>
    <x v="0"/>
    <s v="U"/>
    <s v="U"/>
    <s v="U"/>
    <s v="U"/>
    <n v="2"/>
    <m/>
    <n v="0.02"/>
    <n v="0.11363636363636363"/>
    <n v="0.22727272727272727"/>
    <x v="0"/>
    <x v="0"/>
    <s v="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3">
        <item m="1" x="1"/>
        <item x="0"/>
        <item t="default"/>
      </items>
    </pivotField>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4"/>
  </rowFields>
  <rowItems count="2">
    <i>
      <x v="1"/>
    </i>
    <i t="grand">
      <x/>
    </i>
  </rowItems>
  <colItems count="1">
    <i/>
  </colItems>
  <dataFields count="1">
    <dataField name="Sum of No. of Chapters" fld="10" baseField="0" baseItem="0"/>
  </dataFields>
  <formats count="6">
    <format dxfId="53">
      <pivotArea type="all" dataOnly="0" outline="0" fieldPosition="0"/>
    </format>
    <format dxfId="52">
      <pivotArea outline="0" collapsedLevelsAreSubtotals="1" fieldPosition="0"/>
    </format>
    <format dxfId="51">
      <pivotArea field="34" type="button" dataOnly="0" labelOnly="1" outline="0" axis="axisRow" fieldPosition="0"/>
    </format>
    <format dxfId="50">
      <pivotArea dataOnly="0" labelOnly="1" fieldPosition="0">
        <references count="1">
          <reference field="34" count="0"/>
        </references>
      </pivotArea>
    </format>
    <format dxfId="49">
      <pivotArea dataOnly="0" labelOnly="1" grandRow="1" outline="0" fieldPosition="0"/>
    </format>
    <format dxfId="48">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4" count="1" selected="0">
            <x v="1"/>
          </reference>
        </references>
      </pivotArea>
    </chartFormat>
    <chartFormat chart="6" format="10">
      <pivotArea type="data" outline="0" fieldPosition="0">
        <references count="2">
          <reference field="4294967294" count="1" selected="0">
            <x v="0"/>
          </reference>
          <reference field="3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4"/>
  </rowFields>
  <rowItems count="2">
    <i>
      <x v="1"/>
    </i>
    <i t="grand">
      <x/>
    </i>
  </rowItems>
  <colItems count="1">
    <i/>
  </colItems>
  <dataFields count="1">
    <dataField name="Sum of No. of Chapters" fld="10" baseField="0" baseItem="0"/>
  </dataFields>
  <formats count="6">
    <format dxfId="59">
      <pivotArea type="all" dataOnly="0" outline="0" fieldPosition="0"/>
    </format>
    <format dxfId="58">
      <pivotArea outline="0" collapsedLevelsAreSubtotals="1" fieldPosition="0"/>
    </format>
    <format dxfId="57">
      <pivotArea field="24" type="button" dataOnly="0" labelOnly="1" outline="0" axis="axisRow" fieldPosition="0"/>
    </format>
    <format dxfId="56">
      <pivotArea dataOnly="0" labelOnly="1" fieldPosition="0">
        <references count="1">
          <reference field="24" count="0"/>
        </references>
      </pivotArea>
    </format>
    <format dxfId="55">
      <pivotArea dataOnly="0" labelOnly="1" grandRow="1" outline="0" fieldPosition="0"/>
    </format>
    <format dxfId="54">
      <pivotArea dataOnly="0" labelOnly="1" outline="0" axis="axisValues" fieldPosition="0"/>
    </format>
  </formats>
  <chartFormats count="3">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4" count="1" selected="0">
            <x v="1"/>
          </reference>
        </references>
      </pivotArea>
    </chartFormat>
    <chartFormat chart="5" format="10">
      <pivotArea type="data" outline="0" fieldPosition="0">
        <references count="2">
          <reference field="4294967294" count="1" selected="0">
            <x v="0"/>
          </reference>
          <reference field="2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3">
        <item m="1" x="1"/>
        <item x="0"/>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5"/>
  </rowFields>
  <rowItems count="2">
    <i>
      <x v="1"/>
    </i>
    <i t="grand">
      <x/>
    </i>
  </rowItems>
  <colItems count="1">
    <i/>
  </colItems>
  <dataFields count="1">
    <dataField name="Sum of No. of Chapters" fld="10" baseField="0" baseItem="0"/>
  </dataFields>
  <formats count="6">
    <format dxfId="65">
      <pivotArea type="all" dataOnly="0" outline="0" fieldPosition="0"/>
    </format>
    <format dxfId="64">
      <pivotArea outline="0" collapsedLevelsAreSubtotals="1" fieldPosition="0"/>
    </format>
    <format dxfId="63">
      <pivotArea field="35" type="button" dataOnly="0" labelOnly="1" outline="0" axis="axisRow" fieldPosition="0"/>
    </format>
    <format dxfId="62">
      <pivotArea dataOnly="0" labelOnly="1" fieldPosition="0">
        <references count="1">
          <reference field="35" count="0"/>
        </references>
      </pivotArea>
    </format>
    <format dxfId="61">
      <pivotArea dataOnly="0" labelOnly="1" grandRow="1" outline="0" fieldPosition="0"/>
    </format>
    <format dxfId="60">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5" count="1" selected="0">
            <x v="0"/>
          </reference>
        </references>
      </pivotArea>
    </chartFormat>
    <chartFormat chart="6" format="10">
      <pivotArea type="data" outline="0" fieldPosition="0">
        <references count="2">
          <reference field="4294967294" count="1" selected="0">
            <x v="0"/>
          </reference>
          <reference field="3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71">
      <pivotArea type="all" dataOnly="0" outline="0" fieldPosition="0"/>
    </format>
    <format dxfId="70">
      <pivotArea outline="0" collapsedLevelsAreSubtotals="1" fieldPosition="0"/>
    </format>
    <format dxfId="69">
      <pivotArea field="20" type="button" dataOnly="0" labelOnly="1" outline="0" axis="axisRow" fieldPosition="0"/>
    </format>
    <format dxfId="68">
      <pivotArea dataOnly="0" labelOnly="1" fieldPosition="0">
        <references count="1">
          <reference field="20" count="0"/>
        </references>
      </pivotArea>
    </format>
    <format dxfId="67">
      <pivotArea dataOnly="0" labelOnly="1" grandRow="1" outline="0" fieldPosition="0"/>
    </format>
    <format dxfId="66">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9">
    <pivotField numFmtId="3" showAll="0"/>
    <pivotField showAll="0"/>
    <pivotField numFmtId="3" showAll="0"/>
    <pivotField numFmtId="169" showAll="0"/>
    <pivotField showAll="0"/>
    <pivotField showAll="0"/>
    <pivotField showAll="0">
      <items count="20">
        <item x="3"/>
        <item m="1" x="16"/>
        <item x="1"/>
        <item m="1" x="18"/>
        <item x="4"/>
        <item x="7"/>
        <item m="1" x="14"/>
        <item x="9"/>
        <item x="6"/>
        <item x="5"/>
        <item m="1" x="17"/>
        <item x="2"/>
        <item m="1" x="13"/>
        <item m="1" x="15"/>
        <item m="1" x="10"/>
        <item x="8"/>
        <item m="1" x="11"/>
        <item x="0"/>
        <item m="1" x="12"/>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77">
      <pivotArea type="all" dataOnly="0" outline="0" fieldPosition="0"/>
    </format>
    <format dxfId="76">
      <pivotArea outline="0" collapsedLevelsAreSubtotals="1" fieldPosition="0"/>
    </format>
    <format dxfId="75">
      <pivotArea field="21" type="button" dataOnly="0" labelOnly="1" outline="0" axis="axisRow" fieldPosition="0"/>
    </format>
    <format dxfId="74">
      <pivotArea dataOnly="0" labelOnly="1" fieldPosition="0">
        <references count="1">
          <reference field="21" count="0"/>
        </references>
      </pivotArea>
    </format>
    <format dxfId="73">
      <pivotArea dataOnly="0" labelOnly="1" grandRow="1" outline="0" fieldPosition="0"/>
    </format>
    <format dxfId="72">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1"/>
          </reference>
        </references>
      </pivotArea>
    </chartFormat>
    <chartFormat chart="6" format="10">
      <pivotArea type="data" outline="0" fieldPosition="0">
        <references count="2">
          <reference field="4294967294" count="1" selected="0">
            <x v="0"/>
          </reference>
          <reference field="2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9">
        <i x="3" s="1"/>
        <i x="1" s="1"/>
        <i x="4" s="1"/>
        <i x="7" s="1"/>
        <i x="9" s="1"/>
        <i x="6" s="1"/>
        <i x="5" s="1"/>
        <i x="2" s="1"/>
        <i x="8" s="1"/>
        <i x="0" s="1"/>
        <i x="16" s="1"/>
        <i x="18" s="1"/>
        <i x="14" s="1"/>
        <i x="17" s="1"/>
        <i x="13" s="1"/>
        <i x="15" s="1"/>
        <i x="10" s="1"/>
        <i x="11" s="1"/>
        <i x="1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L85" totalsRowShown="0" headerRowDxfId="119" dataDxfId="117" headerRowBorderDxfId="118" tableBorderDxfId="116" totalsRowBorderDxfId="115">
  <autoFilter ref="B8:AL85" xr:uid="{861EE33C-73C1-4F33-9192-F531CCE54052}"/>
  <sortState xmlns:xlrd2="http://schemas.microsoft.com/office/spreadsheetml/2017/richdata2" ref="B9:AL85">
    <sortCondition ref="B8:B85"/>
  </sortState>
  <tableColumns count="37">
    <tableColumn id="9" xr3:uid="{1F1DE16E-278E-4EF8-B2BB-8924E21CCBFE}" name="Order of Study" dataDxfId="114"/>
    <tableColumn id="33" xr3:uid="{BBAB2BFB-594B-429D-A8B8-83652595607C}" name="Schedule" dataDxfId="113">
      <calculatedColumnFormula>IF(Master_Data[[#This Row],[Column1]]="Done","",IF(Master_Data[[#This Row],[Column1]]=MIN(Master_Data[Column1]),"Current Week",CONCATENATE("Week ",Master_Data[[#This Row],[Column1]])))</calculatedColumnFormula>
    </tableColumn>
    <tableColumn id="32" xr3:uid="{9A94244A-9683-470A-BBD0-A46326317C2C}" name="Column1" dataDxfId="112">
      <calculatedColumnFormula>IF(Master_Data[[#This Row],[Cum. Undone hrs]]=0,"Done",ROUNDUP(Master_Data[[#This Row],[Cum. Undone hrs]]/Working!$C$8,0))</calculatedColumnFormula>
    </tableColumn>
    <tableColumn id="38" xr3:uid="{BA74B281-D5DE-42D8-A5C6-EF6D97A60B41}" name="Column2" dataDxfId="111">
      <calculatedColumnFormula>IF(OR(D9=D8,D9=D8+1),Master_Data[[#This Row],[Column1]],D9-1)</calculatedColumnFormula>
    </tableColumn>
    <tableColumn id="30" xr3:uid="{870EBD19-DC72-4312-B209-C8AADE869148}" name="Cum. Undone hrs" dataDxfId="110">
      <calculatedColumnFormula>SUM($G$9:G9)</calculatedColumnFormula>
    </tableColumn>
    <tableColumn id="27" xr3:uid="{2C857C23-47AE-4F9C-AA57-E6F2EC1B8477}" name="Undone hrs" dataDxfId="109">
      <calculatedColumnFormula>IF(Master_Data[[#This Row],[Lectures]]="D","",Master_Data[[#This Row],[Duration (hh:mm)]])</calculatedColumnFormula>
    </tableColumn>
    <tableColumn id="1" xr3:uid="{00000000-0010-0000-0000-000001000000}" name="Subject" dataDxfId="108"/>
    <tableColumn id="2" xr3:uid="{00000000-0010-0000-0000-000002000000}" name="Reading" dataDxfId="107"/>
    <tableColumn id="24" xr3:uid="{12F2DE11-D6A3-41B2-B62E-C51E27851BC0}" name="Changes" dataDxfId="106"/>
    <tableColumn id="3" xr3:uid="{00000000-0010-0000-0000-000003000000}" name="Topic" dataDxfId="105"/>
    <tableColumn id="35" xr3:uid="{7CA50BED-5181-4E43-AEEE-009A9A07764D}" name="No. of Chapters" dataDxfId="104"/>
    <tableColumn id="13" xr3:uid="{831F4477-25B4-4195-AB9B-0AADBF9D7D3E}" name="No. of LOS2" dataDxfId="103"/>
    <tableColumn id="21" xr3:uid="{75701E24-4A87-4E0F-9D5A-73640F8E25C4}" name="Lengthy" dataDxfId="102"/>
    <tableColumn id="20" xr3:uid="{77CA19E4-4B02-44E6-B959-FD5250D705DD}" name="Numerical or Not" dataDxfId="101"/>
    <tableColumn id="19" xr3:uid="{2E72736C-C56E-4D52-B458-A87278BC9CE2}" name="Diff. Level" dataDxfId="100"/>
    <tableColumn id="22" xr3:uid="{BC8C5220-F4FC-4DDB-BF01-412D8FEECE86}" name="Confusing" dataDxfId="99"/>
    <tableColumn id="18" xr3:uid="{2E66286A-5B10-41F1-B2EC-C16040833BBF}" name="Imp. Level" dataDxfId="98"/>
    <tableColumn id="17" xr3:uid="{7EEA9AA8-4E26-4B33-AA7E-0D9AA4589720}" name="Reqd. Prac." dataDxfId="97"/>
    <tableColumn id="16" xr3:uid="{BD71F8AD-1CE1-4DAB-BF8A-6F05372A3D94}" name="Duration (hh:mm)" dataDxfId="96"/>
    <tableColumn id="15" xr3:uid="{14D87CA9-408F-464E-88DB-8BE470862CA1}" name="Cum. (%)" dataDxfId="95">
      <calculatedColumnFormula>(SUM($T$9:T9)/$T$4)*100</calculatedColumnFormula>
    </tableColumn>
    <tableColumn id="4" xr3:uid="{00000000-0010-0000-0000-000004000000}" name="Lectures" dataDxfId="94"/>
    <tableColumn id="5" xr3:uid="{00000000-0010-0000-0000-000005000000}" name="Self Study" dataDxfId="93"/>
    <tableColumn id="10" xr3:uid="{00000000-0010-0000-0000-00000A000000}" name="Inst. EOC Ques." dataDxfId="92"/>
    <tableColumn id="8" xr3:uid="{00000000-0010-0000-0000-000008000000}" name="Class Test Book" dataDxfId="91"/>
    <tableColumn id="6" xr3:uid="{00000000-0010-0000-0000-000006000000}" name="Revision" dataDxfId="90"/>
    <tableColumn id="11" xr3:uid="{00000000-0010-0000-0000-00000B000000}" name="Inst. Online Portal" dataDxfId="89"/>
    <tableColumn id="12" xr3:uid="{00000000-0010-0000-0000-00000C000000}" name="Prac. Book" dataDxfId="88"/>
    <tableColumn id="14" xr3:uid="{AEDD019D-42C9-488A-91CF-CB6B9FD52249}" name="Schweser Prac. Bk 1" dataDxfId="87"/>
    <tableColumn id="7" xr3:uid="{00000000-0010-0000-0000-000007000000}" name="Schweser Prac. Bk 2" dataDxfId="86"/>
    <tableColumn id="25" xr3:uid="{960A4FD1-ACCA-4C3B-BB49-555780F1E120}" name="Confidence Level" dataDxfId="85"/>
    <tableColumn id="23" xr3:uid="{4F2FB2AB-1E57-49E4-A36E-C2AE4F7ECC88}" name="Notes to Yourself" dataDxfId="84"/>
    <tableColumn id="26" xr3:uid="{15012E93-27CD-479E-B748-1A0B33E38540}" name="Total weights" dataDxfId="83">
      <calculatedColumnFormula>R9/SUM($R$9:$R$85)</calculatedColumnFormula>
    </tableColumn>
    <tableColumn id="28" xr3:uid="{F75F033E-D2A5-4A49-AC71-603D263F625D}" name="Subjectwise weights" dataDxfId="82">
      <calculatedColumnFormula>Master_Data[[#This Row],[Imp. Level]]/SUMIF(Master_Data[Subject],Master_Data[[#This Row],[Subject]],Master_Data[Imp. Level])</calculatedColumnFormula>
    </tableColumn>
    <tableColumn id="29" xr3:uid="{4DCF2CFD-3233-40BF-995C-319D9E96ABF7}" name="Subjectwise weighted average" dataDxfId="81">
      <calculatedColumnFormula>Master_Data[[#This Row],[Subjectwise weights]]*Master_Data[[#This Row],[Confidence Level]]</calculatedColumnFormula>
    </tableColumn>
    <tableColumn id="31" xr3:uid="{44791B14-8EA4-4997-9F55-0F060C364CAA}" name="Practice" dataDxfId="80">
      <calculatedColumnFormula>IF(AND(Master_Data[[#This Row],[Inst. EOC Ques.]]="D",Master_Data[[#This Row],[Class Test Book]]="D"),"D","U")</calculatedColumnFormula>
    </tableColumn>
    <tableColumn id="34" xr3:uid="{679C7012-AA95-4E12-BCFA-3A8F0884BA1B}" name="Extra Practice" dataDxfId="79">
      <calculatedColumnFormula>IF(AND(Master_Data[[#This Row],[Inst. Online Portal]]="D",Master_Data[[#This Row],[Prac. Book]]="D",Master_Data[[#This Row],[Schweser Prac. Bk 1]]="D",Master_Data[[#This Row],[Schweser Prac. Bk 2]]="D"),"D","U")</calculatedColumnFormula>
    </tableColumn>
    <tableColumn id="36" xr3:uid="{8D8C3F49-6277-4787-B300-C841F502D3A2}" name="Study" dataDxfId="78">
      <calculatedColumnFormula>IF(AND(Master_Data[[#This Row],[Lectures]]="D",Master_Data[[#This Row],[Self Study]]="D"),Master_Data[[#This Row],[No. of Chapters]],"U")</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B4xHkO9xJh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4"/>
  <sheetViews>
    <sheetView showGridLines="0" tabSelected="1" zoomScale="90" zoomScaleNormal="90" workbookViewId="0">
      <selection activeCell="F6" sqref="F6"/>
    </sheetView>
  </sheetViews>
  <sheetFormatPr defaultColWidth="8.7109375" defaultRowHeight="14.25"/>
  <cols>
    <col min="1" max="1" width="3.7109375" style="40" customWidth="1"/>
    <col min="2" max="2" width="11.85546875" style="40" customWidth="1"/>
    <col min="3" max="3" width="16" style="40" customWidth="1"/>
    <col min="4" max="4" width="42.5703125" style="40" customWidth="1"/>
    <col min="5" max="5" width="34.42578125" style="40" customWidth="1"/>
    <col min="6" max="6" width="39.5703125" style="40" customWidth="1"/>
    <col min="7" max="16384" width="8.7109375" style="40"/>
  </cols>
  <sheetData>
    <row r="1" spans="2:27" ht="6.75" customHeight="1"/>
    <row r="2" spans="2:27" ht="30" customHeight="1">
      <c r="B2" s="279" t="s">
        <v>187</v>
      </c>
      <c r="C2" s="279"/>
      <c r="D2" s="279"/>
      <c r="E2" s="279"/>
      <c r="F2" s="279"/>
      <c r="G2" s="57"/>
      <c r="H2" s="57"/>
      <c r="I2" s="57"/>
      <c r="J2" s="57"/>
      <c r="K2" s="57"/>
      <c r="L2" s="57"/>
      <c r="M2" s="57"/>
      <c r="N2" s="57"/>
      <c r="O2" s="57"/>
      <c r="P2" s="57"/>
      <c r="Q2" s="57"/>
      <c r="R2" s="57"/>
      <c r="S2" s="57"/>
      <c r="T2" s="57"/>
      <c r="U2" s="57"/>
      <c r="V2" s="57"/>
      <c r="W2" s="57"/>
      <c r="X2" s="57"/>
      <c r="Y2" s="57"/>
      <c r="Z2" s="57"/>
      <c r="AA2" s="57"/>
    </row>
    <row r="3" spans="2:27" ht="9.9499999999999993" customHeight="1"/>
    <row r="4" spans="2:27" s="28" customFormat="1" ht="21.75" customHeight="1">
      <c r="D4" s="58"/>
      <c r="E4" s="274" t="s">
        <v>10</v>
      </c>
      <c r="F4" s="274"/>
      <c r="G4" s="58"/>
      <c r="H4" s="58"/>
      <c r="I4" s="58"/>
      <c r="J4" s="58"/>
      <c r="K4" s="59"/>
      <c r="L4" s="59"/>
      <c r="M4" s="59"/>
      <c r="N4" s="59"/>
      <c r="O4" s="59"/>
      <c r="P4" s="59"/>
      <c r="Q4" s="59"/>
      <c r="R4" s="59"/>
      <c r="S4" s="59"/>
    </row>
    <row r="5" spans="2:27" ht="8.25" customHeight="1"/>
    <row r="6" spans="2:27" ht="18.75">
      <c r="E6" s="69" t="s">
        <v>0</v>
      </c>
      <c r="F6" s="70" t="s">
        <v>193</v>
      </c>
      <c r="I6" s="136"/>
    </row>
    <row r="7" spans="2:27" ht="5.25" customHeight="1">
      <c r="E7" s="60"/>
      <c r="F7" s="156"/>
    </row>
    <row r="8" spans="2:27" ht="19.5" customHeight="1">
      <c r="E8" s="186" t="s">
        <v>2</v>
      </c>
      <c r="F8" s="187">
        <v>44937</v>
      </c>
    </row>
    <row r="9" spans="2:27" ht="19.5" customHeight="1">
      <c r="E9" s="188" t="s">
        <v>1</v>
      </c>
      <c r="F9" s="189">
        <v>45615</v>
      </c>
    </row>
    <row r="11" spans="2:27">
      <c r="B11" s="278"/>
      <c r="C11" s="278"/>
      <c r="D11" s="278"/>
    </row>
    <row r="12" spans="2:27" ht="6.6" customHeight="1">
      <c r="B12" s="145"/>
      <c r="C12" s="145"/>
    </row>
    <row r="13" spans="2:27" s="146" customFormat="1" ht="25.5">
      <c r="B13" s="284" t="s">
        <v>49</v>
      </c>
      <c r="C13" s="284"/>
      <c r="D13" s="285"/>
      <c r="E13" s="285"/>
      <c r="F13" s="147" t="str">
        <f>'📝 Instructions'!E4&amp;" |Aswini Bajaj"</f>
        <v>CFA L-1 |Aswini Bajaj</v>
      </c>
    </row>
    <row r="14" spans="2:27">
      <c r="C14" s="41"/>
    </row>
    <row r="15" spans="2:27" ht="42.6" customHeight="1">
      <c r="B15" s="138"/>
      <c r="C15" s="138"/>
      <c r="D15" s="138"/>
      <c r="E15" s="138"/>
      <c r="F15" s="138"/>
    </row>
    <row r="16" spans="2:27" ht="44.45" customHeight="1">
      <c r="B16" s="51"/>
      <c r="C16" s="51"/>
      <c r="D16" s="51"/>
      <c r="E16" s="51"/>
      <c r="F16" s="51"/>
    </row>
    <row r="17" spans="2:6" ht="25.5">
      <c r="B17" s="52"/>
      <c r="C17" s="53"/>
      <c r="D17" s="52"/>
      <c r="E17" s="52"/>
    </row>
    <row r="18" spans="2:6" ht="18.600000000000001" customHeight="1">
      <c r="B18" s="52"/>
      <c r="C18" s="53"/>
      <c r="D18" s="52"/>
      <c r="E18" s="52"/>
    </row>
    <row r="19" spans="2:6" ht="18.75">
      <c r="B19" s="154" t="s">
        <v>47</v>
      </c>
      <c r="C19" s="154" t="s">
        <v>48</v>
      </c>
      <c r="D19" s="277" t="s">
        <v>49</v>
      </c>
      <c r="E19" s="277"/>
      <c r="F19" s="277"/>
    </row>
    <row r="20" spans="2:6" ht="59.1" customHeight="1">
      <c r="B20" s="139">
        <v>1</v>
      </c>
      <c r="C20" s="140" t="s">
        <v>28</v>
      </c>
      <c r="D20" s="275" t="s">
        <v>189</v>
      </c>
      <c r="E20" s="275"/>
      <c r="F20" s="276"/>
    </row>
    <row r="21" spans="2:6" ht="42" customHeight="1">
      <c r="B21" s="139">
        <v>2</v>
      </c>
      <c r="C21" s="140" t="str">
        <f>Master_Data[[#Headers],[Schedule]]</f>
        <v>Schedule</v>
      </c>
      <c r="D21" s="275" t="s">
        <v>192</v>
      </c>
      <c r="E21" s="275"/>
      <c r="F21" s="276"/>
    </row>
    <row r="22" spans="2:6" ht="42" customHeight="1">
      <c r="B22" s="141">
        <v>3</v>
      </c>
      <c r="C22" s="142" t="s">
        <v>3</v>
      </c>
      <c r="D22" s="280" t="s">
        <v>229</v>
      </c>
      <c r="E22" s="280"/>
      <c r="F22" s="281"/>
    </row>
    <row r="23" spans="2:6" ht="25.5" customHeight="1">
      <c r="B23" s="143">
        <v>4</v>
      </c>
      <c r="C23" s="144" t="s">
        <v>4</v>
      </c>
      <c r="D23" s="282" t="s">
        <v>92</v>
      </c>
      <c r="E23" s="282"/>
      <c r="F23" s="283"/>
    </row>
    <row r="24" spans="2:6" ht="42" customHeight="1">
      <c r="B24" s="141">
        <v>5</v>
      </c>
      <c r="C24" s="142" t="s">
        <v>5</v>
      </c>
      <c r="D24" s="275" t="s">
        <v>105</v>
      </c>
      <c r="E24" s="275"/>
      <c r="F24" s="276"/>
    </row>
    <row r="25" spans="2:6" ht="57.75" customHeight="1">
      <c r="B25" s="143">
        <v>6</v>
      </c>
      <c r="C25" s="144" t="s">
        <v>91</v>
      </c>
      <c r="D25" s="275" t="s">
        <v>273</v>
      </c>
      <c r="E25" s="275"/>
      <c r="F25" s="276"/>
    </row>
    <row r="26" spans="2:6" ht="29.1" customHeight="1">
      <c r="B26" s="141">
        <v>7</v>
      </c>
      <c r="C26" s="142" t="s">
        <v>116</v>
      </c>
      <c r="D26" s="275" t="s">
        <v>112</v>
      </c>
      <c r="E26" s="275"/>
      <c r="F26" s="276"/>
    </row>
    <row r="27" spans="2:6" ht="42" customHeight="1">
      <c r="B27" s="143">
        <v>8</v>
      </c>
      <c r="C27" s="144" t="s">
        <v>184</v>
      </c>
      <c r="D27" s="282" t="s">
        <v>115</v>
      </c>
      <c r="E27" s="282"/>
      <c r="F27" s="283"/>
    </row>
    <row r="28" spans="2:6" ht="42" customHeight="1">
      <c r="B28" s="141">
        <v>9</v>
      </c>
      <c r="C28" s="142" t="s">
        <v>88</v>
      </c>
      <c r="D28" s="275" t="s">
        <v>104</v>
      </c>
      <c r="E28" s="275"/>
      <c r="F28" s="276"/>
    </row>
    <row r="29" spans="2:6" ht="72" customHeight="1">
      <c r="B29" s="143">
        <v>10</v>
      </c>
      <c r="C29" s="144" t="s">
        <v>89</v>
      </c>
      <c r="D29" s="282" t="s">
        <v>106</v>
      </c>
      <c r="E29" s="282"/>
      <c r="F29" s="283"/>
    </row>
    <row r="30" spans="2:6" ht="75.599999999999994" customHeight="1">
      <c r="B30" s="141">
        <v>11</v>
      </c>
      <c r="C30" s="142" t="s">
        <v>185</v>
      </c>
      <c r="D30" s="275" t="s">
        <v>103</v>
      </c>
      <c r="E30" s="275"/>
      <c r="F30" s="276"/>
    </row>
    <row r="31" spans="2:6" ht="143.1" customHeight="1">
      <c r="B31" s="143">
        <v>12</v>
      </c>
      <c r="C31" s="144" t="s">
        <v>90</v>
      </c>
      <c r="D31" s="282" t="s">
        <v>182</v>
      </c>
      <c r="E31" s="282"/>
      <c r="F31" s="283"/>
    </row>
    <row r="32" spans="2:6" ht="72.95" customHeight="1">
      <c r="B32" s="141">
        <v>13</v>
      </c>
      <c r="C32" s="142" t="s">
        <v>50</v>
      </c>
      <c r="D32" s="275" t="s">
        <v>228</v>
      </c>
      <c r="E32" s="275"/>
      <c r="F32" s="276"/>
    </row>
    <row r="33" spans="2:6" ht="42" customHeight="1">
      <c r="B33" s="143">
        <v>14</v>
      </c>
      <c r="C33" s="144" t="s">
        <v>46</v>
      </c>
      <c r="D33" s="282" t="s">
        <v>107</v>
      </c>
      <c r="E33" s="282"/>
      <c r="F33" s="283"/>
    </row>
    <row r="34" spans="2:6" ht="58.5" customHeight="1">
      <c r="B34" s="141">
        <v>15</v>
      </c>
      <c r="C34" s="142" t="s">
        <v>39</v>
      </c>
      <c r="D34" s="275" t="s">
        <v>108</v>
      </c>
      <c r="E34" s="275"/>
      <c r="F34" s="276"/>
    </row>
    <row r="35" spans="2:6" ht="56.45" customHeight="1">
      <c r="B35" s="143">
        <v>16</v>
      </c>
      <c r="C35" s="144" t="s">
        <v>40</v>
      </c>
      <c r="D35" s="282" t="s">
        <v>53</v>
      </c>
      <c r="E35" s="282"/>
      <c r="F35" s="283"/>
    </row>
    <row r="36" spans="2:6" ht="58.5" customHeight="1">
      <c r="B36" s="141">
        <v>17</v>
      </c>
      <c r="C36" s="142" t="s">
        <v>41</v>
      </c>
      <c r="D36" s="275" t="s">
        <v>109</v>
      </c>
      <c r="E36" s="275"/>
      <c r="F36" s="276"/>
    </row>
    <row r="37" spans="2:6" ht="54" customHeight="1">
      <c r="B37" s="143">
        <v>18</v>
      </c>
      <c r="C37" s="144" t="s">
        <v>42</v>
      </c>
      <c r="D37" s="282" t="s">
        <v>55</v>
      </c>
      <c r="E37" s="282"/>
      <c r="F37" s="283"/>
    </row>
    <row r="38" spans="2:6" ht="42" customHeight="1">
      <c r="B38" s="141">
        <v>19</v>
      </c>
      <c r="C38" s="142" t="s">
        <v>43</v>
      </c>
      <c r="D38" s="275" t="s">
        <v>54</v>
      </c>
      <c r="E38" s="275"/>
      <c r="F38" s="276"/>
    </row>
    <row r="39" spans="2:6" ht="42" customHeight="1">
      <c r="B39" s="143">
        <v>20</v>
      </c>
      <c r="C39" s="144" t="s">
        <v>44</v>
      </c>
      <c r="D39" s="282" t="s">
        <v>110</v>
      </c>
      <c r="E39" s="282"/>
      <c r="F39" s="283"/>
    </row>
    <row r="40" spans="2:6" ht="50.45" customHeight="1">
      <c r="B40" s="141">
        <v>21</v>
      </c>
      <c r="C40" s="142" t="s">
        <v>45</v>
      </c>
      <c r="D40" s="275" t="s">
        <v>56</v>
      </c>
      <c r="E40" s="275"/>
      <c r="F40" s="276"/>
    </row>
    <row r="41" spans="2:6" ht="61.5" customHeight="1">
      <c r="B41" s="143">
        <v>22</v>
      </c>
      <c r="C41" s="144" t="s">
        <v>78</v>
      </c>
      <c r="D41" s="282" t="s">
        <v>57</v>
      </c>
      <c r="E41" s="282"/>
      <c r="F41" s="283"/>
    </row>
    <row r="42" spans="2:6" ht="51.95" customHeight="1">
      <c r="B42" s="141">
        <v>23</v>
      </c>
      <c r="C42" s="142" t="s">
        <v>79</v>
      </c>
      <c r="D42" s="275" t="s">
        <v>58</v>
      </c>
      <c r="E42" s="275"/>
      <c r="F42" s="276"/>
    </row>
    <row r="43" spans="2:6" ht="42" customHeight="1">
      <c r="B43" s="143">
        <v>24</v>
      </c>
      <c r="C43" s="144" t="s">
        <v>136</v>
      </c>
      <c r="D43" s="282" t="s">
        <v>183</v>
      </c>
      <c r="E43" s="282"/>
      <c r="F43" s="283"/>
    </row>
    <row r="44" spans="2:6" ht="48.6" customHeight="1">
      <c r="B44" s="141">
        <v>25</v>
      </c>
      <c r="C44" s="142" t="s">
        <v>113</v>
      </c>
      <c r="D44" s="275" t="s">
        <v>186</v>
      </c>
      <c r="E44" s="275"/>
      <c r="F44" s="276"/>
    </row>
  </sheetData>
  <sheetProtection algorithmName="SHA-512" hashValue="J/yFLy9Anyj4e6LwBFPL5ObAV/IWT0sAWILNUSMGCbNO0eeTXkyuagxquW3NsNnYbu18Jdsrd/M5UOdQEtbVOA==" saltValue="S9O4z4DPxGwxK1I8DGbMng==" spinCount="100000" sheet="1" selectLockedCells="1"/>
  <mergeCells count="31">
    <mergeCell ref="D43:F43"/>
    <mergeCell ref="D44:F44"/>
    <mergeCell ref="D24:F24"/>
    <mergeCell ref="D32:F32"/>
    <mergeCell ref="D33:F33"/>
    <mergeCell ref="D34:F34"/>
    <mergeCell ref="D35:F35"/>
    <mergeCell ref="D30:F30"/>
    <mergeCell ref="D31:F31"/>
    <mergeCell ref="D29:F29"/>
    <mergeCell ref="D28:F28"/>
    <mergeCell ref="D27:F27"/>
    <mergeCell ref="D25:F25"/>
    <mergeCell ref="D26:F26"/>
    <mergeCell ref="D41:F41"/>
    <mergeCell ref="D42:F42"/>
    <mergeCell ref="D36:F36"/>
    <mergeCell ref="D37:F37"/>
    <mergeCell ref="D38:F38"/>
    <mergeCell ref="D39:F39"/>
    <mergeCell ref="D40:F40"/>
    <mergeCell ref="D22:F22"/>
    <mergeCell ref="D23:F23"/>
    <mergeCell ref="B13:C13"/>
    <mergeCell ref="D21:F21"/>
    <mergeCell ref="D13:E13"/>
    <mergeCell ref="E4:F4"/>
    <mergeCell ref="D20:F20"/>
    <mergeCell ref="D19:F19"/>
    <mergeCell ref="B11:D11"/>
    <mergeCell ref="B2:F2"/>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hyperlinks>
    <hyperlink ref="D22:F22" r:id="rId1" display="https://youtu.be/B4xHkO9xJhQ" xr:uid="{3B28D366-E42F-433F-B681-B34C4A2CE3A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T85"/>
  <sheetViews>
    <sheetView showGridLines="0" zoomScale="70" zoomScaleNormal="70" workbookViewId="0">
      <selection activeCell="V16" sqref="V16"/>
    </sheetView>
  </sheetViews>
  <sheetFormatPr defaultColWidth="8.85546875" defaultRowHeight="14.25"/>
  <cols>
    <col min="1" max="1" width="0.5703125" style="40" customWidth="1"/>
    <col min="2" max="2" width="6.42578125" style="40" customWidth="1"/>
    <col min="3" max="3" width="9.5703125" style="41" customWidth="1"/>
    <col min="4" max="5" width="10.85546875" style="40" hidden="1" customWidth="1"/>
    <col min="6" max="6" width="8" style="40" hidden="1" customWidth="1"/>
    <col min="7" max="7" width="9.28515625" style="40" hidden="1" customWidth="1"/>
    <col min="8" max="8" width="10.140625" style="41" customWidth="1"/>
    <col min="9" max="9" width="9.140625" style="40" customWidth="1"/>
    <col min="10" max="10" width="8.85546875" style="40" customWidth="1"/>
    <col min="11" max="11" width="32.42578125" style="41" customWidth="1"/>
    <col min="12" max="12" width="11.42578125" style="61" customWidth="1"/>
    <col min="13" max="13" width="6.140625" style="61" customWidth="1"/>
    <col min="14" max="19" width="8.7109375" style="61" customWidth="1"/>
    <col min="20" max="20" width="9.85546875" style="40" customWidth="1"/>
    <col min="21" max="21" width="8.42578125" style="40" customWidth="1"/>
    <col min="22" max="22" width="8.7109375" style="40" customWidth="1"/>
    <col min="23" max="23" width="6.85546875" style="40" bestFit="1" customWidth="1"/>
    <col min="24" max="24" width="6.85546875" style="40" customWidth="1"/>
    <col min="25" max="25" width="6.42578125" style="40" customWidth="1"/>
    <col min="26" max="26" width="8.5703125" style="40" customWidth="1"/>
    <col min="27" max="27" width="7.5703125" style="40" customWidth="1"/>
    <col min="28" max="28" width="6" style="40" customWidth="1"/>
    <col min="29" max="30" width="10.28515625" style="40" customWidth="1"/>
    <col min="31" max="31" width="7.7109375" style="40" customWidth="1"/>
    <col min="32" max="32" width="40" style="40" customWidth="1"/>
    <col min="33" max="34" width="8.85546875" style="40" customWidth="1"/>
    <col min="35" max="35" width="11.42578125" style="40" customWidth="1"/>
    <col min="36" max="37" width="8.85546875" style="40" customWidth="1"/>
    <col min="38" max="16384" width="8.85546875" style="40"/>
  </cols>
  <sheetData>
    <row r="2" spans="1:38" ht="30" customHeight="1">
      <c r="A2" s="63"/>
      <c r="B2" s="75" t="s">
        <v>68</v>
      </c>
      <c r="C2" s="180"/>
      <c r="D2" s="71"/>
      <c r="E2" s="71"/>
      <c r="F2" s="71"/>
      <c r="G2" s="71"/>
      <c r="H2" s="71"/>
      <c r="I2" s="72"/>
      <c r="J2" s="72"/>
      <c r="K2" s="72"/>
      <c r="L2" s="271"/>
      <c r="M2" s="72"/>
      <c r="N2" s="72"/>
      <c r="O2" s="72"/>
      <c r="P2" s="72"/>
      <c r="Q2" s="72"/>
      <c r="R2" s="72"/>
      <c r="S2" s="72"/>
      <c r="T2" s="72"/>
      <c r="U2" s="72"/>
      <c r="V2" s="72"/>
      <c r="W2" s="72"/>
      <c r="X2" s="72"/>
      <c r="Y2" s="72"/>
      <c r="Z2" s="72"/>
      <c r="AA2" s="72"/>
      <c r="AB2" s="73"/>
      <c r="AC2" s="73"/>
      <c r="AD2" s="73"/>
      <c r="AE2" s="73" t="str">
        <f>'📝 Instructions'!E4&amp;" |Aswini Bajaj"</f>
        <v>CFA L-1 |Aswini Bajaj</v>
      </c>
    </row>
    <row r="3" spans="1:38" ht="11.25" customHeight="1">
      <c r="B3" s="62"/>
      <c r="C3" s="181"/>
      <c r="D3" s="62"/>
      <c r="E3" s="62"/>
      <c r="F3" s="62"/>
      <c r="G3" s="62"/>
      <c r="H3" s="62"/>
      <c r="I3" s="62"/>
      <c r="J3" s="62"/>
    </row>
    <row r="4" spans="1:38" ht="20.100000000000001" customHeight="1">
      <c r="B4" s="286" t="s">
        <v>128</v>
      </c>
      <c r="C4" s="286"/>
      <c r="D4" s="286"/>
      <c r="E4" s="286"/>
      <c r="F4" s="286"/>
      <c r="G4" s="286"/>
      <c r="H4" s="286"/>
      <c r="I4" s="286"/>
      <c r="J4" s="286"/>
      <c r="K4" s="286"/>
      <c r="L4" s="286"/>
      <c r="M4" s="286"/>
      <c r="N4" s="286"/>
      <c r="O4" s="286"/>
      <c r="P4" s="286"/>
      <c r="Q4" s="286"/>
      <c r="R4" s="287" t="s">
        <v>7</v>
      </c>
      <c r="S4" s="288"/>
      <c r="T4" s="45">
        <f>SUM(Master_Data[Duration (hh:mm)])</f>
        <v>13.384722222222216</v>
      </c>
      <c r="U4" s="46">
        <v>1</v>
      </c>
      <c r="V4" s="47">
        <f>SUM(Master_Data[No. of Chapters])</f>
        <v>116</v>
      </c>
      <c r="W4" s="47">
        <f>SUM(Master_Data[No. of Chapters])</f>
        <v>116</v>
      </c>
      <c r="X4" s="47">
        <f>SUM(Master_Data[No. of Chapters])</f>
        <v>116</v>
      </c>
      <c r="Y4" s="47">
        <f>SUM(Master_Data[No. of Chapters])</f>
        <v>116</v>
      </c>
      <c r="Z4" s="47">
        <f>SUM(Master_Data[No. of Chapters])</f>
        <v>116</v>
      </c>
      <c r="AA4" s="47">
        <f>SUM(Master_Data[No. of Chapters])</f>
        <v>116</v>
      </c>
      <c r="AB4" s="47">
        <f>SUM(Master_Data[No. of Chapters])</f>
        <v>116</v>
      </c>
      <c r="AC4" s="47">
        <f>SUM(Master_Data[No. of Chapters])</f>
        <v>116</v>
      </c>
      <c r="AD4" s="47">
        <f>SUM(Master_Data[No. of Chapters])</f>
        <v>116</v>
      </c>
      <c r="AE4" s="47">
        <v>5</v>
      </c>
      <c r="AG4" s="68"/>
    </row>
    <row r="5" spans="1:38" ht="20.100000000000001" customHeight="1">
      <c r="B5" s="286"/>
      <c r="C5" s="286"/>
      <c r="D5" s="286"/>
      <c r="E5" s="286"/>
      <c r="F5" s="286"/>
      <c r="G5" s="286"/>
      <c r="H5" s="286"/>
      <c r="I5" s="286"/>
      <c r="J5" s="286"/>
      <c r="K5" s="286"/>
      <c r="L5" s="286"/>
      <c r="M5" s="286"/>
      <c r="N5" s="286"/>
      <c r="O5" s="286"/>
      <c r="P5" s="286"/>
      <c r="Q5" s="286"/>
      <c r="R5" s="287" t="s">
        <v>52</v>
      </c>
      <c r="S5" s="288"/>
      <c r="T5" s="45">
        <f>SUMIF(Master_Data[Lectures],"d",Master_Data[Duration (hh:mm)])</f>
        <v>0</v>
      </c>
      <c r="U5" s="46">
        <f>T5/T4</f>
        <v>0</v>
      </c>
      <c r="V5" s="48">
        <f>SUMIFS(Master_Data[No. of Chapters],Master_Data[Lectures],"d")</f>
        <v>0</v>
      </c>
      <c r="W5" s="48">
        <f>SUMIFS(Master_Data[No. of Chapters],Master_Data[Self Study],"d")</f>
        <v>0</v>
      </c>
      <c r="X5" s="48">
        <f>SUMIFS(Master_Data[No. of Chapters],Master_Data[Inst. EOC Ques.],"d")</f>
        <v>0</v>
      </c>
      <c r="Y5" s="48">
        <f>SUMIFS(Master_Data[No. of Chapters],Master_Data[Class Test Book],"d")</f>
        <v>0</v>
      </c>
      <c r="Z5" s="48">
        <f>SUMIFS(Master_Data[No. of Chapters],Master_Data[Revision],"d")</f>
        <v>0</v>
      </c>
      <c r="AA5" s="48">
        <f>SUMIFS(Master_Data[No. of Chapters],Master_Data[Inst. Online Portal],"d")</f>
        <v>0</v>
      </c>
      <c r="AB5" s="48">
        <f>SUMIFS(Master_Data[No. of Chapters],Master_Data[Prac. Book],"d")</f>
        <v>0</v>
      </c>
      <c r="AC5" s="48">
        <f>SUMIFS(Master_Data[No. of Chapters],Master_Data[Schweser Prac. Bk 1],"d")</f>
        <v>0</v>
      </c>
      <c r="AD5" s="48">
        <f>SUMIFS(Master_Data[No. of Chapters],Master_Data[Schweser Prac. Bk 2],"d")</f>
        <v>0</v>
      </c>
      <c r="AE5" s="48">
        <f>SUMPRODUCT(Master_Data[Confidence Level],Master_Data[Total weights])</f>
        <v>2.6578181818181825</v>
      </c>
      <c r="AG5" s="68"/>
    </row>
    <row r="6" spans="1:38" ht="20.100000000000001" customHeight="1">
      <c r="B6" s="64"/>
      <c r="C6" s="182"/>
      <c r="D6" s="64"/>
      <c r="E6" s="64"/>
      <c r="F6" s="64"/>
      <c r="G6" s="64"/>
      <c r="H6" s="64"/>
      <c r="I6" s="64"/>
      <c r="J6" s="62"/>
      <c r="K6" s="65" t="s">
        <v>114</v>
      </c>
      <c r="L6" s="272"/>
      <c r="M6" s="66">
        <f>AVERAGE(Master_Data[No. of LOS2])</f>
        <v>6.883116883116883</v>
      </c>
      <c r="N6" s="66">
        <f>AVERAGE(Master_Data[Lengthy])</f>
        <v>3.4415584415584415</v>
      </c>
      <c r="O6" s="66">
        <f>AVERAGE(Master_Data[Numerical or Not])</f>
        <v>2.4025974025974026</v>
      </c>
      <c r="P6" s="66">
        <f>AVERAGE(Master_Data[Diff. Level])</f>
        <v>3.4025974025974026</v>
      </c>
      <c r="Q6" s="66">
        <f>AVERAGE(Master_Data[Confusing])</f>
        <v>3.5454545454545454</v>
      </c>
      <c r="R6" s="66">
        <f>AVERAGE(Master_Data[Imp. Level])</f>
        <v>3.8571428571428572</v>
      </c>
      <c r="S6" s="66">
        <f>AVERAGE(Master_Data[Reqd. Prac.])</f>
        <v>3.831168831168831</v>
      </c>
      <c r="T6" s="67">
        <f>AVERAGE(Master_Data[Duration (hh:mm)])</f>
        <v>0.17382756132756125</v>
      </c>
      <c r="W6" s="54"/>
    </row>
    <row r="7" spans="1:38" ht="20.100000000000001" customHeight="1">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0">
        <v>23</v>
      </c>
      <c r="AE7" s="10">
        <v>24</v>
      </c>
      <c r="AF7" s="10">
        <v>25</v>
      </c>
      <c r="AG7" s="1"/>
      <c r="AH7" s="1"/>
      <c r="AI7" s="1"/>
    </row>
    <row r="8" spans="1:38" s="28" customFormat="1" ht="63">
      <c r="B8" s="74" t="s">
        <v>28</v>
      </c>
      <c r="C8" s="74" t="s">
        <v>167</v>
      </c>
      <c r="D8" s="74" t="s">
        <v>156</v>
      </c>
      <c r="E8" s="74" t="s">
        <v>154</v>
      </c>
      <c r="F8" s="74" t="s">
        <v>230</v>
      </c>
      <c r="G8" s="74" t="s">
        <v>231</v>
      </c>
      <c r="H8" s="74" t="s">
        <v>3</v>
      </c>
      <c r="I8" s="74" t="s">
        <v>4</v>
      </c>
      <c r="J8" s="8" t="s">
        <v>134</v>
      </c>
      <c r="K8" s="8" t="s">
        <v>5</v>
      </c>
      <c r="L8" s="8" t="s">
        <v>177</v>
      </c>
      <c r="M8" s="8" t="s">
        <v>233</v>
      </c>
      <c r="N8" s="8" t="s">
        <v>116</v>
      </c>
      <c r="O8" s="8" t="s">
        <v>117</v>
      </c>
      <c r="P8" s="8" t="s">
        <v>118</v>
      </c>
      <c r="Q8" s="8" t="s">
        <v>89</v>
      </c>
      <c r="R8" s="8" t="s">
        <v>119</v>
      </c>
      <c r="S8" s="8" t="s">
        <v>120</v>
      </c>
      <c r="T8" s="8" t="s">
        <v>50</v>
      </c>
      <c r="U8" s="8" t="s">
        <v>121</v>
      </c>
      <c r="V8" s="8" t="s">
        <v>39</v>
      </c>
      <c r="W8" s="8" t="s">
        <v>40</v>
      </c>
      <c r="X8" s="8" t="s">
        <v>124</v>
      </c>
      <c r="Y8" s="8" t="s">
        <v>42</v>
      </c>
      <c r="Z8" s="8" t="s">
        <v>43</v>
      </c>
      <c r="AA8" s="8" t="s">
        <v>123</v>
      </c>
      <c r="AB8" s="8" t="s">
        <v>122</v>
      </c>
      <c r="AC8" s="8" t="s">
        <v>125</v>
      </c>
      <c r="AD8" s="8" t="s">
        <v>126</v>
      </c>
      <c r="AE8" s="8" t="s">
        <v>136</v>
      </c>
      <c r="AF8" s="8" t="s">
        <v>113</v>
      </c>
      <c r="AG8" s="8" t="s">
        <v>139</v>
      </c>
      <c r="AH8" s="8" t="s">
        <v>140</v>
      </c>
      <c r="AI8" s="8" t="s">
        <v>141</v>
      </c>
      <c r="AJ8" s="8" t="s">
        <v>35</v>
      </c>
      <c r="AK8" s="8" t="s">
        <v>137</v>
      </c>
      <c r="AL8" s="8" t="s">
        <v>280</v>
      </c>
    </row>
    <row r="9" spans="1:38" ht="27" customHeight="1">
      <c r="B9" s="3">
        <v>1</v>
      </c>
      <c r="C9" s="183" t="str">
        <f ca="1">IF(Master_Data[[#This Row],[Column1]]="Done","",IF(Master_Data[[#This Row],[Column1]]=MIN(Master_Data[Column1]),"Current Week",CONCATENATE("Week ",Master_Data[[#This Row],[Column1]])))</f>
        <v>Current Week</v>
      </c>
      <c r="D9" s="3">
        <f ca="1">IF(Master_Data[[#This Row],[Cum. Undone hrs]]=0,"Done",ROUNDUP(Master_Data[[#This Row],[Cum. Undone hrs]]/Working!$C$8,0))</f>
        <v>1</v>
      </c>
      <c r="E9" s="3" t="e">
        <f ca="1">IF(OR(D9=D8,D9=D8+1),Master_Data[[#This Row],[Column1]],D9-1)</f>
        <v>#VALUE!</v>
      </c>
      <c r="F9" s="15">
        <f>SUM($G$9:G9)</f>
        <v>0.4604166666666667</v>
      </c>
      <c r="G9" s="26">
        <f>IF(Master_Data[[#This Row],[Lectures]]="D","",Master_Data[[#This Row],[Duration (hh:mm)]])</f>
        <v>0.4604166666666667</v>
      </c>
      <c r="H9" s="2" t="s">
        <v>9</v>
      </c>
      <c r="I9" s="2" t="s">
        <v>241</v>
      </c>
      <c r="J9" s="2" t="s">
        <v>135</v>
      </c>
      <c r="K9" s="44" t="s">
        <v>267</v>
      </c>
      <c r="L9" s="273">
        <v>2</v>
      </c>
      <c r="M9" s="16">
        <v>11</v>
      </c>
      <c r="N9" s="43">
        <v>4</v>
      </c>
      <c r="O9" s="43">
        <v>5</v>
      </c>
      <c r="P9" s="43">
        <v>4</v>
      </c>
      <c r="Q9" s="43">
        <v>5</v>
      </c>
      <c r="R9" s="43">
        <v>5</v>
      </c>
      <c r="S9" s="43">
        <v>4</v>
      </c>
      <c r="T9" s="12">
        <v>0.4604166666666667</v>
      </c>
      <c r="U9" s="42">
        <f>(SUM($T$9:T9)/$T$4)*100</f>
        <v>3.4398671785825479</v>
      </c>
      <c r="V9" s="27" t="s">
        <v>6</v>
      </c>
      <c r="W9" s="27" t="s">
        <v>6</v>
      </c>
      <c r="X9" s="27" t="s">
        <v>6</v>
      </c>
      <c r="Y9" s="27" t="s">
        <v>6</v>
      </c>
      <c r="Z9" s="27" t="s">
        <v>6</v>
      </c>
      <c r="AA9" s="27" t="s">
        <v>6</v>
      </c>
      <c r="AB9" s="27" t="s">
        <v>6</v>
      </c>
      <c r="AC9" s="27" t="s">
        <v>6</v>
      </c>
      <c r="AD9" s="27" t="s">
        <v>6</v>
      </c>
      <c r="AE9" s="159">
        <v>3</v>
      </c>
      <c r="AF9" s="18"/>
      <c r="AG9" s="174">
        <f>R9/SUM($R$9:$R$73)</f>
        <v>0.02</v>
      </c>
      <c r="AH9" s="175">
        <f>Master_Data[[#This Row],[Imp. Level]]/SUMIF(Master_Data[Subject],Master_Data[[#This Row],[Subject]],Master_Data[Imp. Level])</f>
        <v>0.11363636363636363</v>
      </c>
      <c r="AI9" s="157">
        <f>Master_Data[[#This Row],[Subjectwise weights]]*Master_Data[[#This Row],[Confidence Level]]</f>
        <v>0.34090909090909088</v>
      </c>
      <c r="AJ9" s="158" t="str">
        <f>IF(AND(Master_Data[[#This Row],[Inst. EOC Ques.]]="D",Master_Data[[#This Row],[Class Test Book]]="D"),"D","U")</f>
        <v>U</v>
      </c>
      <c r="AK9" s="155" t="str">
        <f>IF(AND(Master_Data[[#This Row],[Inst. Online Portal]]="D",Master_Data[[#This Row],[Prac. Book]]="D",Master_Data[[#This Row],[Schweser Prac. Bk 1]]="D",Master_Data[[#This Row],[Schweser Prac. Bk 2]]="D"),"D","U")</f>
        <v>U</v>
      </c>
      <c r="AL9" s="270" t="str">
        <f>IF(AND(Master_Data[[#This Row],[Lectures]]="D",Master_Data[[#This Row],[Self Study]]="D"),Master_Data[[#This Row],[No. of Chapters]],"U")</f>
        <v>U</v>
      </c>
    </row>
    <row r="10" spans="1:38" ht="27" customHeight="1">
      <c r="B10" s="3">
        <v>2</v>
      </c>
      <c r="C10" s="183" t="str">
        <f ca="1">IF(Master_Data[[#This Row],[Column1]]="Done","",IF(Master_Data[[#This Row],[Column1]]=MIN(Master_Data[Column1]),"Current Week",CONCATENATE("Week ",Master_Data[[#This Row],[Column1]])))</f>
        <v>Current Week</v>
      </c>
      <c r="D10" s="3">
        <f ca="1">IF(Master_Data[[#This Row],[Cum. Undone hrs]]=0,"Done",ROUNDUP(Master_Data[[#This Row],[Cum. Undone hrs]]/Working!$C$8,0))</f>
        <v>1</v>
      </c>
      <c r="E10" s="3">
        <f ca="1">IF(OR(D10=D9,D10=D9+1),Master_Data[[#This Row],[Column1]],D10-1)</f>
        <v>1</v>
      </c>
      <c r="F10" s="15">
        <f>SUM($G$9:G10)</f>
        <v>0.75694444444444442</v>
      </c>
      <c r="G10" s="26">
        <f>IF(Master_Data[[#This Row],[Lectures]]="D","",Master_Data[[#This Row],[Duration (hh:mm)]])</f>
        <v>0.29652777777777778</v>
      </c>
      <c r="H10" s="2" t="s">
        <v>133</v>
      </c>
      <c r="I10" s="2">
        <v>24</v>
      </c>
      <c r="J10" s="2" t="s">
        <v>135</v>
      </c>
      <c r="K10" s="44" t="s">
        <v>206</v>
      </c>
      <c r="L10" s="273">
        <v>1</v>
      </c>
      <c r="M10" s="16">
        <v>4</v>
      </c>
      <c r="N10" s="43">
        <v>4</v>
      </c>
      <c r="O10" s="43">
        <v>4</v>
      </c>
      <c r="P10" s="43">
        <v>4</v>
      </c>
      <c r="Q10" s="43">
        <v>4</v>
      </c>
      <c r="R10" s="43">
        <v>5</v>
      </c>
      <c r="S10" s="43">
        <v>4</v>
      </c>
      <c r="T10" s="11">
        <v>0.29652777777777778</v>
      </c>
      <c r="U10" s="42">
        <f>(SUM($T$9:T10)/$T$4)*100</f>
        <v>5.6552869150150489</v>
      </c>
      <c r="V10" s="27" t="s">
        <v>6</v>
      </c>
      <c r="W10" s="27" t="s">
        <v>6</v>
      </c>
      <c r="X10" s="27" t="s">
        <v>6</v>
      </c>
      <c r="Y10" s="27" t="s">
        <v>6</v>
      </c>
      <c r="Z10" s="27" t="s">
        <v>6</v>
      </c>
      <c r="AA10" s="27" t="s">
        <v>6</v>
      </c>
      <c r="AB10" s="27" t="s">
        <v>6</v>
      </c>
      <c r="AC10" s="27" t="s">
        <v>6</v>
      </c>
      <c r="AD10" s="27" t="s">
        <v>6</v>
      </c>
      <c r="AE10" s="159">
        <v>3</v>
      </c>
      <c r="AF10" s="17"/>
      <c r="AG10" s="174">
        <f t="shared" ref="AG10:AG16" si="0">R10/SUM($R$9:$R$85)</f>
        <v>1.6835016835016835E-2</v>
      </c>
      <c r="AH10" s="175">
        <f>Master_Data[[#This Row],[Imp. Level]]/SUMIF(Master_Data[Subject],Master_Data[[#This Row],[Subject]],Master_Data[Imp. Level])</f>
        <v>0.22727272727272727</v>
      </c>
      <c r="AI10" s="157">
        <f>Master_Data[[#This Row],[Subjectwise weights]]*Master_Data[[#This Row],[Confidence Level]]</f>
        <v>0.68181818181818177</v>
      </c>
      <c r="AJ10" s="158" t="str">
        <f>IF(AND(Master_Data[[#This Row],[Inst. EOC Ques.]]="D",Master_Data[[#This Row],[Class Test Book]]="D"),"D","U")</f>
        <v>U</v>
      </c>
      <c r="AK10" s="155" t="str">
        <f>IF(AND(Master_Data[[#This Row],[Inst. Online Portal]]="D",Master_Data[[#This Row],[Prac. Book]]="D",Master_Data[[#This Row],[Schweser Prac. Bk 1]]="D",Master_Data[[#This Row],[Schweser Prac. Bk 2]]="D"),"D","U")</f>
        <v>U</v>
      </c>
      <c r="AL10" s="270" t="str">
        <f>IF(AND(Master_Data[[#This Row],[Lectures]]="D",Master_Data[[#This Row],[Self Study]]="D"),Master_Data[[#This Row],[No. of Chapters]],"U")</f>
        <v>U</v>
      </c>
    </row>
    <row r="11" spans="1:38" ht="27" customHeight="1">
      <c r="B11" s="3">
        <v>3</v>
      </c>
      <c r="C11" s="183" t="str">
        <f ca="1">IF(Master_Data[[#This Row],[Column1]]="Done","",IF(Master_Data[[#This Row],[Column1]]=MIN(Master_Data[Column1]),"Current Week",CONCATENATE("Week ",Master_Data[[#This Row],[Column1]])))</f>
        <v>Week 2</v>
      </c>
      <c r="D11" s="3">
        <f ca="1">IF(Master_Data[[#This Row],[Cum. Undone hrs]]=0,"Done",ROUNDUP(Master_Data[[#This Row],[Cum. Undone hrs]]/Working!$C$8,0))</f>
        <v>2</v>
      </c>
      <c r="E11" s="3">
        <f ca="1">IF(OR(D11=D10,D11=D10+1),Master_Data[[#This Row],[Column1]],D11-1)</f>
        <v>2</v>
      </c>
      <c r="F11" s="15">
        <f>SUM($G$9:G11)</f>
        <v>1.0701388888888888</v>
      </c>
      <c r="G11" s="26">
        <f>IF(Master_Data[[#This Row],[Lectures]]="D","",Master_Data[[#This Row],[Duration (hh:mm)]])</f>
        <v>0.31319444444444444</v>
      </c>
      <c r="H11" s="2" t="s">
        <v>9</v>
      </c>
      <c r="I11" s="2" t="s">
        <v>242</v>
      </c>
      <c r="J11" s="2" t="s">
        <v>135</v>
      </c>
      <c r="K11" s="44" t="s">
        <v>268</v>
      </c>
      <c r="L11" s="273">
        <v>2</v>
      </c>
      <c r="M11" s="16">
        <v>15</v>
      </c>
      <c r="N11" s="43">
        <v>4</v>
      </c>
      <c r="O11" s="43">
        <v>4</v>
      </c>
      <c r="P11" s="43">
        <v>3</v>
      </c>
      <c r="Q11" s="43">
        <v>4</v>
      </c>
      <c r="R11" s="43">
        <v>4</v>
      </c>
      <c r="S11" s="43">
        <v>4</v>
      </c>
      <c r="T11" s="12">
        <v>0.31319444444444444</v>
      </c>
      <c r="U11" s="42">
        <f>(SUM($T$9:T11)/$T$4)*100</f>
        <v>7.9952267303102644</v>
      </c>
      <c r="V11" s="27" t="s">
        <v>6</v>
      </c>
      <c r="W11" s="27" t="s">
        <v>6</v>
      </c>
      <c r="X11" s="27" t="s">
        <v>6</v>
      </c>
      <c r="Y11" s="27" t="s">
        <v>6</v>
      </c>
      <c r="Z11" s="27" t="s">
        <v>6</v>
      </c>
      <c r="AA11" s="27" t="s">
        <v>6</v>
      </c>
      <c r="AB11" s="27" t="s">
        <v>6</v>
      </c>
      <c r="AC11" s="27" t="s">
        <v>6</v>
      </c>
      <c r="AD11" s="27" t="s">
        <v>6</v>
      </c>
      <c r="AE11" s="159">
        <v>2</v>
      </c>
      <c r="AF11" s="17"/>
      <c r="AG11" s="174">
        <f t="shared" si="0"/>
        <v>1.3468013468013467E-2</v>
      </c>
      <c r="AH11" s="175">
        <f>Master_Data[[#This Row],[Imp. Level]]/SUMIF(Master_Data[Subject],Master_Data[[#This Row],[Subject]],Master_Data[Imp. Level])</f>
        <v>9.0909090909090912E-2</v>
      </c>
      <c r="AI11" s="157">
        <f>Master_Data[[#This Row],[Subjectwise weights]]*Master_Data[[#This Row],[Confidence Level]]</f>
        <v>0.18181818181818182</v>
      </c>
      <c r="AJ11" s="158" t="str">
        <f>IF(AND(Master_Data[[#This Row],[Inst. EOC Ques.]]="D",Master_Data[[#This Row],[Class Test Book]]="D"),"D","U")</f>
        <v>U</v>
      </c>
      <c r="AK11" s="155" t="str">
        <f>IF(AND(Master_Data[[#This Row],[Inst. Online Portal]]="D",Master_Data[[#This Row],[Prac. Book]]="D",Master_Data[[#This Row],[Schweser Prac. Bk 1]]="D",Master_Data[[#This Row],[Schweser Prac. Bk 2]]="D"),"D","U")</f>
        <v>U</v>
      </c>
      <c r="AL11" s="270" t="str">
        <f>IF(AND(Master_Data[[#This Row],[Lectures]]="D",Master_Data[[#This Row],[Self Study]]="D"),Master_Data[[#This Row],[No. of Chapters]],"U")</f>
        <v>U</v>
      </c>
    </row>
    <row r="12" spans="1:38" ht="27" customHeight="1">
      <c r="B12" s="3">
        <v>4</v>
      </c>
      <c r="C12" s="183" t="str">
        <f ca="1">IF(Master_Data[[#This Row],[Column1]]="Done","",IF(Master_Data[[#This Row],[Column1]]=MIN(Master_Data[Column1]),"Current Week",CONCATENATE("Week ",Master_Data[[#This Row],[Column1]])))</f>
        <v>Week 2</v>
      </c>
      <c r="D12" s="3">
        <f ca="1">IF(Master_Data[[#This Row],[Cum. Undone hrs]]=0,"Done",ROUNDUP(Master_Data[[#This Row],[Cum. Undone hrs]]/Working!$C$8,0))</f>
        <v>2</v>
      </c>
      <c r="E12" s="3">
        <f ca="1">IF(OR(D12=D11,D12=D11+1),Master_Data[[#This Row],[Column1]],D12-1)</f>
        <v>2</v>
      </c>
      <c r="F12" s="15">
        <f>SUM($G$9:G12)</f>
        <v>1.1569444444444443</v>
      </c>
      <c r="G12" s="26">
        <f>IF(Master_Data[[#This Row],[Lectures]]="D","",Master_Data[[#This Row],[Duration (hh:mm)]])</f>
        <v>8.6805555555555566E-2</v>
      </c>
      <c r="H12" s="2" t="s">
        <v>9</v>
      </c>
      <c r="I12" s="2">
        <v>5</v>
      </c>
      <c r="J12" s="2" t="s">
        <v>135</v>
      </c>
      <c r="K12" s="44" t="s">
        <v>196</v>
      </c>
      <c r="L12" s="273">
        <v>1</v>
      </c>
      <c r="M12" s="16">
        <v>3</v>
      </c>
      <c r="N12" s="43">
        <v>4</v>
      </c>
      <c r="O12" s="43">
        <v>4</v>
      </c>
      <c r="P12" s="43">
        <v>3</v>
      </c>
      <c r="Q12" s="43">
        <v>4</v>
      </c>
      <c r="R12" s="43">
        <v>4</v>
      </c>
      <c r="S12" s="43">
        <v>4</v>
      </c>
      <c r="T12" s="12">
        <v>8.6805555555555566E-2</v>
      </c>
      <c r="U12" s="42">
        <f>(SUM($T$9:T12)/$T$4)*100</f>
        <v>8.6437688077202477</v>
      </c>
      <c r="V12" s="27" t="s">
        <v>6</v>
      </c>
      <c r="W12" s="27" t="s">
        <v>6</v>
      </c>
      <c r="X12" s="27" t="s">
        <v>6</v>
      </c>
      <c r="Y12" s="27" t="s">
        <v>6</v>
      </c>
      <c r="Z12" s="27" t="s">
        <v>6</v>
      </c>
      <c r="AA12" s="27" t="s">
        <v>6</v>
      </c>
      <c r="AB12" s="27" t="s">
        <v>6</v>
      </c>
      <c r="AC12" s="27" t="s">
        <v>6</v>
      </c>
      <c r="AD12" s="27" t="s">
        <v>6</v>
      </c>
      <c r="AE12" s="159">
        <v>3</v>
      </c>
      <c r="AF12" s="17"/>
      <c r="AG12" s="174">
        <f t="shared" si="0"/>
        <v>1.3468013468013467E-2</v>
      </c>
      <c r="AH12" s="175">
        <f>Master_Data[[#This Row],[Imp. Level]]/SUMIF(Master_Data[Subject],Master_Data[[#This Row],[Subject]],Master_Data[Imp. Level])</f>
        <v>9.0909090909090912E-2</v>
      </c>
      <c r="AI12" s="157">
        <f>Master_Data[[#This Row],[Subjectwise weights]]*Master_Data[[#This Row],[Confidence Level]]</f>
        <v>0.27272727272727271</v>
      </c>
      <c r="AJ12" s="158" t="str">
        <f>IF(AND(Master_Data[[#This Row],[Inst. EOC Ques.]]="D",Master_Data[[#This Row],[Class Test Book]]="D"),"D","U")</f>
        <v>U</v>
      </c>
      <c r="AK12" s="155" t="str">
        <f>IF(AND(Master_Data[[#This Row],[Inst. Online Portal]]="D",Master_Data[[#This Row],[Prac. Book]]="D",Master_Data[[#This Row],[Schweser Prac. Bk 1]]="D",Master_Data[[#This Row],[Schweser Prac. Bk 2]]="D"),"D","U")</f>
        <v>U</v>
      </c>
      <c r="AL12" s="270" t="str">
        <f>IF(AND(Master_Data[[#This Row],[Lectures]]="D",Master_Data[[#This Row],[Self Study]]="D"),Master_Data[[#This Row],[No. of Chapters]],"U")</f>
        <v>U</v>
      </c>
    </row>
    <row r="13" spans="1:38" ht="27" customHeight="1">
      <c r="B13" s="3">
        <v>5</v>
      </c>
      <c r="C13" s="183" t="str">
        <f ca="1">IF(Master_Data[[#This Row],[Column1]]="Done","",IF(Master_Data[[#This Row],[Column1]]=MIN(Master_Data[Column1]),"Current Week",CONCATENATE("Week ",Master_Data[[#This Row],[Column1]])))</f>
        <v>Week 2</v>
      </c>
      <c r="D13" s="3">
        <f ca="1">IF(Master_Data[[#This Row],[Cum. Undone hrs]]=0,"Done",ROUNDUP(Master_Data[[#This Row],[Cum. Undone hrs]]/Working!$C$8,0))</f>
        <v>2</v>
      </c>
      <c r="E13" s="3">
        <f ca="1">IF(OR(D13=D12,D13=D12+1),Master_Data[[#This Row],[Column1]],D13-1)</f>
        <v>2</v>
      </c>
      <c r="F13" s="150">
        <f>SUM($G$9:G13)</f>
        <v>1.3555555555555554</v>
      </c>
      <c r="G13" s="26">
        <f>IF(Master_Data[[#This Row],[Lectures]]="D","",Master_Data[[#This Row],[Duration (hh:mm)]])</f>
        <v>0.1986111111111111</v>
      </c>
      <c r="H13" s="2" t="s">
        <v>9</v>
      </c>
      <c r="I13" s="2" t="s">
        <v>243</v>
      </c>
      <c r="J13" s="2" t="s">
        <v>135</v>
      </c>
      <c r="K13" s="44" t="s">
        <v>269</v>
      </c>
      <c r="L13" s="273">
        <v>2</v>
      </c>
      <c r="M13" s="16">
        <v>11</v>
      </c>
      <c r="N13" s="43">
        <v>4</v>
      </c>
      <c r="O13" s="43">
        <v>4</v>
      </c>
      <c r="P13" s="43">
        <v>3</v>
      </c>
      <c r="Q13" s="43">
        <v>4</v>
      </c>
      <c r="R13" s="43">
        <v>4</v>
      </c>
      <c r="S13" s="43">
        <v>4</v>
      </c>
      <c r="T13" s="13">
        <v>0.1986111111111111</v>
      </c>
      <c r="U13" s="42">
        <f>(SUM($T$9:T13)/$T$4)*100</f>
        <v>10.127633080834288</v>
      </c>
      <c r="V13" s="27" t="s">
        <v>6</v>
      </c>
      <c r="W13" s="27" t="s">
        <v>6</v>
      </c>
      <c r="X13" s="27" t="s">
        <v>6</v>
      </c>
      <c r="Y13" s="27" t="s">
        <v>6</v>
      </c>
      <c r="Z13" s="27" t="s">
        <v>6</v>
      </c>
      <c r="AA13" s="27" t="s">
        <v>6</v>
      </c>
      <c r="AB13" s="27" t="s">
        <v>6</v>
      </c>
      <c r="AC13" s="27" t="s">
        <v>6</v>
      </c>
      <c r="AD13" s="27" t="s">
        <v>6</v>
      </c>
      <c r="AE13" s="159">
        <v>3</v>
      </c>
      <c r="AF13" s="17"/>
      <c r="AG13" s="174">
        <f t="shared" si="0"/>
        <v>1.3468013468013467E-2</v>
      </c>
      <c r="AH13" s="175">
        <f>Master_Data[[#This Row],[Imp. Level]]/SUMIF(Master_Data[Subject],Master_Data[[#This Row],[Subject]],Master_Data[Imp. Level])</f>
        <v>9.0909090909090912E-2</v>
      </c>
      <c r="AI13" s="157">
        <f>Master_Data[[#This Row],[Subjectwise weights]]*Master_Data[[#This Row],[Confidence Level]]</f>
        <v>0.27272727272727271</v>
      </c>
      <c r="AJ13" s="158" t="str">
        <f>IF(AND(Master_Data[[#This Row],[Inst. EOC Ques.]]="D",Master_Data[[#This Row],[Class Test Book]]="D"),"D","U")</f>
        <v>U</v>
      </c>
      <c r="AK13" s="155" t="str">
        <f>IF(AND(Master_Data[[#This Row],[Inst. Online Portal]]="D",Master_Data[[#This Row],[Prac. Book]]="D",Master_Data[[#This Row],[Schweser Prac. Bk 1]]="D",Master_Data[[#This Row],[Schweser Prac. Bk 2]]="D"),"D","U")</f>
        <v>U</v>
      </c>
      <c r="AL13" s="270" t="str">
        <f>IF(AND(Master_Data[[#This Row],[Lectures]]="D",Master_Data[[#This Row],[Self Study]]="D"),Master_Data[[#This Row],[No. of Chapters]],"U")</f>
        <v>U</v>
      </c>
    </row>
    <row r="14" spans="1:38" ht="27" customHeight="1">
      <c r="B14" s="3">
        <v>6</v>
      </c>
      <c r="C14" s="183" t="str">
        <f ca="1">IF(Master_Data[[#This Row],[Column1]]="Done","",IF(Master_Data[[#This Row],[Column1]]=MIN(Master_Data[Column1]),"Current Week",CONCATENATE("Week ",Master_Data[[#This Row],[Column1]])))</f>
        <v>Week 2</v>
      </c>
      <c r="D14" s="3">
        <f ca="1">IF(Master_Data[[#This Row],[Cum. Undone hrs]]=0,"Done",ROUNDUP(Master_Data[[#This Row],[Cum. Undone hrs]]/Working!$C$8,0))</f>
        <v>2</v>
      </c>
      <c r="E14" s="3">
        <f ca="1">IF(OR(D14=D13,D14=D13+1),Master_Data[[#This Row],[Column1]],D14-1)</f>
        <v>2</v>
      </c>
      <c r="F14" s="150">
        <f>SUM($G$9:G14)</f>
        <v>1.5062499999999999</v>
      </c>
      <c r="G14" s="26">
        <f>IF(Master_Data[[#This Row],[Lectures]]="D","",Master_Data[[#This Row],[Duration (hh:mm)]])</f>
        <v>0.15069444444444444</v>
      </c>
      <c r="H14" s="2" t="s">
        <v>226</v>
      </c>
      <c r="I14" s="2" t="s">
        <v>283</v>
      </c>
      <c r="J14" s="2" t="s">
        <v>135</v>
      </c>
      <c r="K14" s="44" t="s">
        <v>260</v>
      </c>
      <c r="L14" s="273">
        <v>2</v>
      </c>
      <c r="M14" s="16">
        <v>10</v>
      </c>
      <c r="N14" s="43">
        <v>1</v>
      </c>
      <c r="O14" s="43">
        <v>1</v>
      </c>
      <c r="P14" s="43">
        <v>1</v>
      </c>
      <c r="Q14" s="43">
        <v>1</v>
      </c>
      <c r="R14" s="43">
        <v>3</v>
      </c>
      <c r="S14" s="43">
        <v>2</v>
      </c>
      <c r="T14" s="13">
        <v>0.15069444444444444</v>
      </c>
      <c r="U14" s="42">
        <f>(SUM($T$9:T14)/$T$4)*100</f>
        <v>11.253502127218018</v>
      </c>
      <c r="V14" s="27" t="s">
        <v>6</v>
      </c>
      <c r="W14" s="27" t="s">
        <v>6</v>
      </c>
      <c r="X14" s="27" t="s">
        <v>6</v>
      </c>
      <c r="Y14" s="27" t="s">
        <v>6</v>
      </c>
      <c r="Z14" s="27" t="s">
        <v>6</v>
      </c>
      <c r="AA14" s="27" t="s">
        <v>6</v>
      </c>
      <c r="AB14" s="27" t="s">
        <v>6</v>
      </c>
      <c r="AC14" s="27" t="s">
        <v>6</v>
      </c>
      <c r="AD14" s="27" t="s">
        <v>6</v>
      </c>
      <c r="AE14" s="159">
        <v>2</v>
      </c>
      <c r="AF14" s="17"/>
      <c r="AG14" s="174">
        <f t="shared" si="0"/>
        <v>1.0101010101010102E-2</v>
      </c>
      <c r="AH14" s="175">
        <f>Master_Data[[#This Row],[Imp. Level]]/SUMIF(Master_Data[Subject],Master_Data[[#This Row],[Subject]],Master_Data[Imp. Level])</f>
        <v>6.9767441860465115E-2</v>
      </c>
      <c r="AI14" s="157">
        <f>Master_Data[[#This Row],[Subjectwise weights]]*Master_Data[[#This Row],[Confidence Level]]</f>
        <v>0.13953488372093023</v>
      </c>
      <c r="AJ14" s="158" t="str">
        <f>IF(AND(Master_Data[[#This Row],[Inst. EOC Ques.]]="D",Master_Data[[#This Row],[Class Test Book]]="D"),"D","U")</f>
        <v>U</v>
      </c>
      <c r="AK14" s="155" t="str">
        <f>IF(AND(Master_Data[[#This Row],[Inst. Online Portal]]="D",Master_Data[[#This Row],[Prac. Book]]="D",Master_Data[[#This Row],[Schweser Prac. Bk 1]]="D",Master_Data[[#This Row],[Schweser Prac. Bk 2]]="D"),"D","U")</f>
        <v>U</v>
      </c>
      <c r="AL14" s="270" t="str">
        <f>IF(AND(Master_Data[[#This Row],[Lectures]]="D",Master_Data[[#This Row],[Self Study]]="D"),Master_Data[[#This Row],[No. of Chapters]],"U")</f>
        <v>U</v>
      </c>
    </row>
    <row r="15" spans="1:38" ht="27" customHeight="1">
      <c r="B15" s="3">
        <v>7</v>
      </c>
      <c r="C15" s="183" t="str">
        <f ca="1">IF(Master_Data[[#This Row],[Column1]]="Done","",IF(Master_Data[[#This Row],[Column1]]=MIN(Master_Data[Column1]),"Current Week",CONCATENATE("Week ",Master_Data[[#This Row],[Column1]])))</f>
        <v>Week 2</v>
      </c>
      <c r="D15" s="3">
        <f ca="1">IF(Master_Data[[#This Row],[Cum. Undone hrs]]=0,"Done",ROUNDUP(Master_Data[[#This Row],[Cum. Undone hrs]]/Working!$C$8,0))</f>
        <v>2</v>
      </c>
      <c r="E15" s="3">
        <f ca="1">IF(OR(D15=D14,D15=D14+1),Master_Data[[#This Row],[Column1]],D15-1)</f>
        <v>2</v>
      </c>
      <c r="F15" s="150">
        <f>SUM($G$9:G15)</f>
        <v>1.8347222222222221</v>
      </c>
      <c r="G15" s="26">
        <f>IF(Master_Data[[#This Row],[Lectures]]="D","",Master_Data[[#This Row],[Duration (hh:mm)]])</f>
        <v>0.32847222222222222</v>
      </c>
      <c r="H15" s="2" t="s">
        <v>226</v>
      </c>
      <c r="I15" s="2" t="s">
        <v>284</v>
      </c>
      <c r="J15" s="2" t="s">
        <v>135</v>
      </c>
      <c r="K15" s="44" t="s">
        <v>261</v>
      </c>
      <c r="L15" s="273">
        <v>4</v>
      </c>
      <c r="M15" s="16">
        <v>25</v>
      </c>
      <c r="N15" s="43">
        <v>3</v>
      </c>
      <c r="O15" s="43">
        <v>3</v>
      </c>
      <c r="P15" s="43">
        <v>3</v>
      </c>
      <c r="Q15" s="43">
        <v>3</v>
      </c>
      <c r="R15" s="43">
        <v>4</v>
      </c>
      <c r="S15" s="43">
        <v>4</v>
      </c>
      <c r="T15" s="13">
        <v>0.32847222222222222</v>
      </c>
      <c r="U15" s="42">
        <f>(SUM($T$9:T15)/$T$4)*100</f>
        <v>13.707585348137394</v>
      </c>
      <c r="V15" s="27" t="s">
        <v>6</v>
      </c>
      <c r="W15" s="27" t="s">
        <v>6</v>
      </c>
      <c r="X15" s="27" t="s">
        <v>6</v>
      </c>
      <c r="Y15" s="27" t="s">
        <v>6</v>
      </c>
      <c r="Z15" s="27" t="s">
        <v>6</v>
      </c>
      <c r="AA15" s="27" t="s">
        <v>6</v>
      </c>
      <c r="AB15" s="27" t="s">
        <v>6</v>
      </c>
      <c r="AC15" s="27" t="s">
        <v>6</v>
      </c>
      <c r="AD15" s="27" t="s">
        <v>6</v>
      </c>
      <c r="AE15" s="159">
        <v>2</v>
      </c>
      <c r="AF15" s="17"/>
      <c r="AG15" s="174">
        <f t="shared" si="0"/>
        <v>1.3468013468013467E-2</v>
      </c>
      <c r="AH15" s="175">
        <f>Master_Data[[#This Row],[Imp. Level]]/SUMIF(Master_Data[Subject],Master_Data[[#This Row],[Subject]],Master_Data[Imp. Level])</f>
        <v>9.3023255813953487E-2</v>
      </c>
      <c r="AI15" s="157">
        <f>Master_Data[[#This Row],[Subjectwise weights]]*Master_Data[[#This Row],[Confidence Level]]</f>
        <v>0.18604651162790697</v>
      </c>
      <c r="AJ15" s="158" t="str">
        <f>IF(AND(Master_Data[[#This Row],[Inst. EOC Ques.]]="D",Master_Data[[#This Row],[Class Test Book]]="D"),"D","U")</f>
        <v>U</v>
      </c>
      <c r="AK15" s="155" t="str">
        <f>IF(AND(Master_Data[[#This Row],[Inst. Online Portal]]="D",Master_Data[[#This Row],[Prac. Book]]="D",Master_Data[[#This Row],[Schweser Prac. Bk 1]]="D",Master_Data[[#This Row],[Schweser Prac. Bk 2]]="D"),"D","U")</f>
        <v>U</v>
      </c>
      <c r="AL15" s="270" t="str">
        <f>IF(AND(Master_Data[[#This Row],[Lectures]]="D",Master_Data[[#This Row],[Self Study]]="D"),Master_Data[[#This Row],[No. of Chapters]],"U")</f>
        <v>U</v>
      </c>
    </row>
    <row r="16" spans="1:38" ht="27" customHeight="1">
      <c r="B16" s="3">
        <v>8</v>
      </c>
      <c r="C16" s="183" t="str">
        <f ca="1">IF(Master_Data[[#This Row],[Column1]]="Done","",IF(Master_Data[[#This Row],[Column1]]=MIN(Master_Data[Column1]),"Current Week",CONCATENATE("Week ",Master_Data[[#This Row],[Column1]])))</f>
        <v>Week 3</v>
      </c>
      <c r="D16" s="3">
        <f ca="1">IF(Master_Data[[#This Row],[Cum. Undone hrs]]=0,"Done",ROUNDUP(Master_Data[[#This Row],[Cum. Undone hrs]]/Working!$C$8,0))</f>
        <v>3</v>
      </c>
      <c r="E16" s="3">
        <f ca="1">IF(OR(D16=D15,D16=D15+1),Master_Data[[#This Row],[Column1]],D16-1)</f>
        <v>3</v>
      </c>
      <c r="F16" s="15">
        <f>SUM($G$9:G16)</f>
        <v>2.1722222222222221</v>
      </c>
      <c r="G16" s="26">
        <f>IF(Master_Data[[#This Row],[Lectures]]="D","",Master_Data[[#This Row],[Duration (hh:mm)]])</f>
        <v>0.33749999999999997</v>
      </c>
      <c r="H16" s="2" t="s">
        <v>9</v>
      </c>
      <c r="I16" s="2" t="s">
        <v>244</v>
      </c>
      <c r="J16" s="2" t="s">
        <v>135</v>
      </c>
      <c r="K16" s="44" t="s">
        <v>270</v>
      </c>
      <c r="L16" s="273">
        <v>3</v>
      </c>
      <c r="M16" s="16">
        <v>19</v>
      </c>
      <c r="N16" s="43">
        <v>3</v>
      </c>
      <c r="O16" s="43">
        <v>4</v>
      </c>
      <c r="P16" s="43">
        <v>4</v>
      </c>
      <c r="Q16" s="43">
        <v>4</v>
      </c>
      <c r="R16" s="43">
        <v>4</v>
      </c>
      <c r="S16" s="43">
        <v>4</v>
      </c>
      <c r="T16" s="12">
        <v>0.33749999999999997</v>
      </c>
      <c r="U16" s="42">
        <f>(SUM($T$9:T16)/$T$4)*100</f>
        <v>16.229116945107407</v>
      </c>
      <c r="V16" s="27" t="s">
        <v>6</v>
      </c>
      <c r="W16" s="27" t="s">
        <v>6</v>
      </c>
      <c r="X16" s="27" t="s">
        <v>6</v>
      </c>
      <c r="Y16" s="27" t="s">
        <v>6</v>
      </c>
      <c r="Z16" s="27" t="s">
        <v>6</v>
      </c>
      <c r="AA16" s="27" t="s">
        <v>6</v>
      </c>
      <c r="AB16" s="27" t="s">
        <v>6</v>
      </c>
      <c r="AC16" s="27" t="s">
        <v>6</v>
      </c>
      <c r="AD16" s="27" t="s">
        <v>6</v>
      </c>
      <c r="AE16" s="159">
        <v>2</v>
      </c>
      <c r="AF16" s="17"/>
      <c r="AG16" s="174">
        <f t="shared" si="0"/>
        <v>1.3468013468013467E-2</v>
      </c>
      <c r="AH16" s="175">
        <f>Master_Data[[#This Row],[Imp. Level]]/SUMIF(Master_Data[Subject],Master_Data[[#This Row],[Subject]],Master_Data[Imp. Level])</f>
        <v>9.0909090909090912E-2</v>
      </c>
      <c r="AI16" s="157">
        <f>Master_Data[[#This Row],[Subjectwise weights]]*Master_Data[[#This Row],[Confidence Level]]</f>
        <v>0.18181818181818182</v>
      </c>
      <c r="AJ16" s="158" t="str">
        <f>IF(AND(Master_Data[[#This Row],[Inst. EOC Ques.]]="D",Master_Data[[#This Row],[Class Test Book]]="D"),"D","U")</f>
        <v>U</v>
      </c>
      <c r="AK16" s="155" t="str">
        <f>IF(AND(Master_Data[[#This Row],[Inst. Online Portal]]="D",Master_Data[[#This Row],[Prac. Book]]="D",Master_Data[[#This Row],[Schweser Prac. Bk 1]]="D",Master_Data[[#This Row],[Schweser Prac. Bk 2]]="D"),"D","U")</f>
        <v>U</v>
      </c>
      <c r="AL16" s="270" t="str">
        <f>IF(AND(Master_Data[[#This Row],[Lectures]]="D",Master_Data[[#This Row],[Self Study]]="D"),Master_Data[[#This Row],[No. of Chapters]],"U")</f>
        <v>U</v>
      </c>
    </row>
    <row r="17" spans="2:72" s="41" customFormat="1" ht="27" customHeight="1">
      <c r="B17" s="3">
        <v>9</v>
      </c>
      <c r="C17" s="183" t="str">
        <f ca="1">IF(Master_Data[[#This Row],[Column1]]="Done","",IF(Master_Data[[#This Row],[Column1]]=MIN(Master_Data[Column1]),"Current Week",CONCATENATE("Week ",Master_Data[[#This Row],[Column1]])))</f>
        <v>Week 3</v>
      </c>
      <c r="D17" s="3">
        <f ca="1">IF(Master_Data[[#This Row],[Cum. Undone hrs]]=0,"Done",ROUNDUP(Master_Data[[#This Row],[Cum. Undone hrs]]/Working!$C$8,0))</f>
        <v>3</v>
      </c>
      <c r="E17" s="3">
        <f ca="1">IF(OR(D17=D16,D17=D16+1),Master_Data[[#This Row],[Column1]],D17-1)</f>
        <v>3</v>
      </c>
      <c r="F17" s="150">
        <f>SUM($G$9:G19)</f>
        <v>2.8951388888888889</v>
      </c>
      <c r="G17" s="26">
        <f>IF(Master_Data[[#This Row],[Lectures]]="D","",Master_Data[[#This Row],[Duration (hh:mm)]])</f>
        <v>0.21249999999999999</v>
      </c>
      <c r="H17" s="2" t="s">
        <v>9</v>
      </c>
      <c r="I17" s="2" t="s">
        <v>245</v>
      </c>
      <c r="J17" s="2" t="s">
        <v>135</v>
      </c>
      <c r="K17" s="44" t="s">
        <v>271</v>
      </c>
      <c r="L17" s="273">
        <v>2</v>
      </c>
      <c r="M17" s="16">
        <v>7</v>
      </c>
      <c r="N17" s="43">
        <v>3</v>
      </c>
      <c r="O17" s="43">
        <v>4</v>
      </c>
      <c r="P17" s="43">
        <v>4</v>
      </c>
      <c r="Q17" s="43">
        <v>5</v>
      </c>
      <c r="R17" s="43">
        <v>4</v>
      </c>
      <c r="S17" s="43">
        <v>4</v>
      </c>
      <c r="T17" s="11">
        <v>0.21249999999999999</v>
      </c>
      <c r="U17" s="42">
        <f>(SUM($T$9:T17)/$T$4)*100</f>
        <v>17.816747950607041</v>
      </c>
      <c r="V17" s="27" t="s">
        <v>6</v>
      </c>
      <c r="W17" s="27" t="s">
        <v>6</v>
      </c>
      <c r="X17" s="27" t="s">
        <v>6</v>
      </c>
      <c r="Y17" s="27" t="s">
        <v>6</v>
      </c>
      <c r="Z17" s="27" t="s">
        <v>6</v>
      </c>
      <c r="AA17" s="27" t="s">
        <v>6</v>
      </c>
      <c r="AB17" s="27" t="s">
        <v>6</v>
      </c>
      <c r="AC17" s="27" t="s">
        <v>6</v>
      </c>
      <c r="AD17" s="27" t="s">
        <v>6</v>
      </c>
      <c r="AE17" s="159">
        <v>2</v>
      </c>
      <c r="AF17" s="17"/>
      <c r="AG17" s="174">
        <f>R17/SUM($R$9:$R$73)</f>
        <v>1.6E-2</v>
      </c>
      <c r="AH17" s="176">
        <f>Master_Data[[#This Row],[Imp. Level]]/SUMIF(Master_Data[Subject],Master_Data[[#This Row],[Subject]],Master_Data[Imp. Level])</f>
        <v>9.0909090909090912E-2</v>
      </c>
      <c r="AI17" s="177">
        <f>Master_Data[[#This Row],[Subjectwise weights]]*Master_Data[[#This Row],[Confidence Level]]</f>
        <v>0.18181818181818182</v>
      </c>
      <c r="AJ17" s="155" t="str">
        <f>IF(AND(Master_Data[[#This Row],[Inst. EOC Ques.]]="D",Master_Data[[#This Row],[Class Test Book]]="D"),"D","U")</f>
        <v>U</v>
      </c>
      <c r="AK17" s="155" t="str">
        <f>IF(AND(Master_Data[[#This Row],[Inst. Online Portal]]="D",Master_Data[[#This Row],[Prac. Book]]="D",Master_Data[[#This Row],[Schweser Prac. Bk 1]]="D",Master_Data[[#This Row],[Schweser Prac. Bk 2]]="D"),"D","U")</f>
        <v>U</v>
      </c>
      <c r="AL17" s="270" t="str">
        <f>IF(AND(Master_Data[[#This Row],[Lectures]]="D",Master_Data[[#This Row],[Self Study]]="D"),Master_Data[[#This Row],[No. of Chapters]],"U")</f>
        <v>U</v>
      </c>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row>
    <row r="18" spans="2:72" ht="27" customHeight="1">
      <c r="B18" s="3">
        <v>10</v>
      </c>
      <c r="C18" s="183" t="str">
        <f ca="1">IF(Master_Data[[#This Row],[Column1]]="Done","",IF(Master_Data[[#This Row],[Column1]]=MIN(Master_Data[Column1]),"Current Week",CONCATENATE("Week ",Master_Data[[#This Row],[Column1]])))</f>
        <v>Week 3</v>
      </c>
      <c r="D18" s="3">
        <f ca="1">IF(Master_Data[[#This Row],[Cum. Undone hrs]]=0,"Done",ROUNDUP(Master_Data[[#This Row],[Cum. Undone hrs]]/Working!$C$8,0))</f>
        <v>3</v>
      </c>
      <c r="E18" s="3">
        <f ca="1">IF(OR(D18=D17,D18=D17+1),Master_Data[[#This Row],[Column1]],D18-1)</f>
        <v>3</v>
      </c>
      <c r="F18" s="150">
        <f>SUM($G$9:G18)</f>
        <v>2.754861111111111</v>
      </c>
      <c r="G18" s="26">
        <f>IF(Master_Data[[#This Row],[Lectures]]="D","",Master_Data[[#This Row],[Duration (hh:mm)]])</f>
        <v>0.37013888888888885</v>
      </c>
      <c r="H18" s="2" t="s">
        <v>9</v>
      </c>
      <c r="I18" s="2" t="s">
        <v>246</v>
      </c>
      <c r="J18" s="2" t="s">
        <v>135</v>
      </c>
      <c r="K18" s="44" t="s">
        <v>13</v>
      </c>
      <c r="L18" s="273">
        <v>2</v>
      </c>
      <c r="M18" s="16">
        <v>13</v>
      </c>
      <c r="N18" s="43">
        <v>5</v>
      </c>
      <c r="O18" s="43">
        <v>4</v>
      </c>
      <c r="P18" s="43">
        <v>5</v>
      </c>
      <c r="Q18" s="43">
        <v>5</v>
      </c>
      <c r="R18" s="43">
        <v>4</v>
      </c>
      <c r="S18" s="43">
        <v>4</v>
      </c>
      <c r="T18" s="13">
        <v>0.37013888888888885</v>
      </c>
      <c r="U18" s="42">
        <f>(SUM($T$9:T18)/$T$4)*100</f>
        <v>20.582131368683211</v>
      </c>
      <c r="V18" s="27" t="s">
        <v>6</v>
      </c>
      <c r="W18" s="27" t="s">
        <v>6</v>
      </c>
      <c r="X18" s="27" t="s">
        <v>6</v>
      </c>
      <c r="Y18" s="27" t="s">
        <v>6</v>
      </c>
      <c r="Z18" s="27" t="s">
        <v>6</v>
      </c>
      <c r="AA18" s="27" t="s">
        <v>6</v>
      </c>
      <c r="AB18" s="27" t="s">
        <v>6</v>
      </c>
      <c r="AC18" s="27" t="s">
        <v>6</v>
      </c>
      <c r="AD18" s="27" t="s">
        <v>6</v>
      </c>
      <c r="AE18" s="159">
        <v>2</v>
      </c>
      <c r="AF18" s="17"/>
      <c r="AG18" s="174">
        <f>R18/SUM($R$9:$R$85)</f>
        <v>1.3468013468013467E-2</v>
      </c>
      <c r="AH18" s="175">
        <f>Master_Data[[#This Row],[Imp. Level]]/SUMIF(Master_Data[Subject],Master_Data[[#This Row],[Subject]],Master_Data[Imp. Level])</f>
        <v>9.0909090909090912E-2</v>
      </c>
      <c r="AI18" s="157">
        <f>Master_Data[[#This Row],[Subjectwise weights]]*Master_Data[[#This Row],[Confidence Level]]</f>
        <v>0.18181818181818182</v>
      </c>
      <c r="AJ18" s="158" t="str">
        <f>IF(AND(Master_Data[[#This Row],[Inst. EOC Ques.]]="D",Master_Data[[#This Row],[Class Test Book]]="D"),"D","U")</f>
        <v>U</v>
      </c>
      <c r="AK18" s="155" t="str">
        <f>IF(AND(Master_Data[[#This Row],[Inst. Online Portal]]="D",Master_Data[[#This Row],[Prac. Book]]="D",Master_Data[[#This Row],[Schweser Prac. Bk 1]]="D",Master_Data[[#This Row],[Schweser Prac. Bk 2]]="D"),"D","U")</f>
        <v>U</v>
      </c>
      <c r="AL18" s="270" t="str">
        <f>IF(AND(Master_Data[[#This Row],[Lectures]]="D",Master_Data[[#This Row],[Self Study]]="D"),Master_Data[[#This Row],[No. of Chapters]],"U")</f>
        <v>U</v>
      </c>
    </row>
    <row r="19" spans="2:72" ht="27" customHeight="1">
      <c r="B19" s="3">
        <v>11</v>
      </c>
      <c r="C19" s="183" t="str">
        <f ca="1">IF(Master_Data[[#This Row],[Column1]]="Done","",IF(Master_Data[[#This Row],[Column1]]=MIN(Master_Data[Column1]),"Current Week",CONCATENATE("Week ",Master_Data[[#This Row],[Column1]])))</f>
        <v>Week 3</v>
      </c>
      <c r="D19" s="3">
        <f ca="1">IF(Master_Data[[#This Row],[Cum. Undone hrs]]=0,"Done",ROUNDUP(Master_Data[[#This Row],[Cum. Undone hrs]]/Working!$C$8,0))</f>
        <v>3</v>
      </c>
      <c r="E19" s="3">
        <f ca="1">IF(OR(D19=D18,D19=D18+1),Master_Data[[#This Row],[Column1]],D19-1)</f>
        <v>3</v>
      </c>
      <c r="F19" s="15">
        <f>SUM($G$9:G19)</f>
        <v>2.8951388888888889</v>
      </c>
      <c r="G19" s="26">
        <f>IF(Master_Data[[#This Row],[Lectures]]="D","",Master_Data[[#This Row],[Duration (hh:mm)]])</f>
        <v>0.14027777777777778</v>
      </c>
      <c r="H19" s="2" t="s">
        <v>226</v>
      </c>
      <c r="I19" s="2" t="s">
        <v>285</v>
      </c>
      <c r="J19" s="2" t="s">
        <v>135</v>
      </c>
      <c r="K19" s="44" t="s">
        <v>208</v>
      </c>
      <c r="L19" s="273">
        <v>3</v>
      </c>
      <c r="M19" s="16">
        <v>10</v>
      </c>
      <c r="N19" s="43">
        <v>3</v>
      </c>
      <c r="O19" s="43">
        <v>3</v>
      </c>
      <c r="P19" s="43">
        <v>4</v>
      </c>
      <c r="Q19" s="43">
        <v>4</v>
      </c>
      <c r="R19" s="43">
        <v>4</v>
      </c>
      <c r="S19" s="43">
        <v>4</v>
      </c>
      <c r="T19" s="12">
        <v>0.14027777777777778</v>
      </c>
      <c r="U19" s="42">
        <f>(SUM($T$9:T19)/$T$4)*100</f>
        <v>21.630175365777742</v>
      </c>
      <c r="V19" s="27" t="s">
        <v>6</v>
      </c>
      <c r="W19" s="27" t="s">
        <v>6</v>
      </c>
      <c r="X19" s="27" t="s">
        <v>6</v>
      </c>
      <c r="Y19" s="27" t="s">
        <v>6</v>
      </c>
      <c r="Z19" s="27" t="s">
        <v>6</v>
      </c>
      <c r="AA19" s="27" t="s">
        <v>6</v>
      </c>
      <c r="AB19" s="27" t="s">
        <v>6</v>
      </c>
      <c r="AC19" s="27" t="s">
        <v>6</v>
      </c>
      <c r="AD19" s="27" t="s">
        <v>6</v>
      </c>
      <c r="AE19" s="159">
        <v>3</v>
      </c>
      <c r="AF19" s="17"/>
      <c r="AG19" s="174">
        <f>R19/SUM($R$9:$R$85)</f>
        <v>1.3468013468013467E-2</v>
      </c>
      <c r="AH19" s="175">
        <f>Master_Data[[#This Row],[Imp. Level]]/SUMIF(Master_Data[Subject],Master_Data[[#This Row],[Subject]],Master_Data[Imp. Level])</f>
        <v>9.3023255813953487E-2</v>
      </c>
      <c r="AI19" s="157">
        <f>Master_Data[[#This Row],[Subjectwise weights]]*Master_Data[[#This Row],[Confidence Level]]</f>
        <v>0.27906976744186046</v>
      </c>
      <c r="AJ19" s="158" t="str">
        <f>IF(AND(Master_Data[[#This Row],[Inst. EOC Ques.]]="D",Master_Data[[#This Row],[Class Test Book]]="D"),"D","U")</f>
        <v>U</v>
      </c>
      <c r="AK19" s="155" t="str">
        <f>IF(AND(Master_Data[[#This Row],[Inst. Online Portal]]="D",Master_Data[[#This Row],[Prac. Book]]="D",Master_Data[[#This Row],[Schweser Prac. Bk 1]]="D",Master_Data[[#This Row],[Schweser Prac. Bk 2]]="D"),"D","U")</f>
        <v>U</v>
      </c>
      <c r="AL19" s="270" t="str">
        <f>IF(AND(Master_Data[[#This Row],[Lectures]]="D",Master_Data[[#This Row],[Self Study]]="D"),Master_Data[[#This Row],[No. of Chapters]],"U")</f>
        <v>U</v>
      </c>
    </row>
    <row r="20" spans="2:72" ht="27" customHeight="1">
      <c r="B20" s="3">
        <v>12</v>
      </c>
      <c r="C20" s="183" t="str">
        <f ca="1">IF(Master_Data[[#This Row],[Column1]]="Done","",IF(Master_Data[[#This Row],[Column1]]=MIN(Master_Data[Column1]),"Current Week",CONCATENATE("Week ",Master_Data[[#This Row],[Column1]])))</f>
        <v>Week 3</v>
      </c>
      <c r="D20" s="3">
        <f ca="1">IF(Master_Data[[#This Row],[Cum. Undone hrs]]=0,"Done",ROUNDUP(Master_Data[[#This Row],[Cum. Undone hrs]]/Working!$C$8,0))</f>
        <v>3</v>
      </c>
      <c r="E20" s="3">
        <f ca="1">IF(OR(D20=D19,D20=D19+1),Master_Data[[#This Row],[Column1]],D20-1)</f>
        <v>3</v>
      </c>
      <c r="F20" s="15">
        <f>SUM($G$9:G20)</f>
        <v>3.0548611111111112</v>
      </c>
      <c r="G20" s="26">
        <f>IF(Master_Data[[#This Row],[Lectures]]="D","",Master_Data[[#This Row],[Duration (hh:mm)]])</f>
        <v>0.15972222222222224</v>
      </c>
      <c r="H20" s="2" t="s">
        <v>226</v>
      </c>
      <c r="I20" s="2">
        <v>37</v>
      </c>
      <c r="J20" s="2" t="s">
        <v>135</v>
      </c>
      <c r="K20" s="44" t="s">
        <v>17</v>
      </c>
      <c r="L20" s="273">
        <v>1</v>
      </c>
      <c r="M20" s="16">
        <v>6</v>
      </c>
      <c r="N20" s="43">
        <v>4</v>
      </c>
      <c r="O20" s="43">
        <v>4</v>
      </c>
      <c r="P20" s="43">
        <v>3</v>
      </c>
      <c r="Q20" s="43">
        <v>3</v>
      </c>
      <c r="R20" s="43">
        <v>5</v>
      </c>
      <c r="S20" s="43">
        <v>4</v>
      </c>
      <c r="T20" s="12">
        <v>0.15972222222222224</v>
      </c>
      <c r="U20" s="42">
        <f>(SUM($T$9:T20)/$T$4)*100</f>
        <v>22.823492788212111</v>
      </c>
      <c r="V20" s="27" t="s">
        <v>6</v>
      </c>
      <c r="W20" s="27" t="s">
        <v>6</v>
      </c>
      <c r="X20" s="27" t="s">
        <v>6</v>
      </c>
      <c r="Y20" s="27" t="s">
        <v>6</v>
      </c>
      <c r="Z20" s="27" t="s">
        <v>6</v>
      </c>
      <c r="AA20" s="27" t="s">
        <v>6</v>
      </c>
      <c r="AB20" s="27" t="s">
        <v>6</v>
      </c>
      <c r="AC20" s="27" t="s">
        <v>6</v>
      </c>
      <c r="AD20" s="27" t="s">
        <v>6</v>
      </c>
      <c r="AE20" s="159">
        <v>3</v>
      </c>
      <c r="AF20" s="17"/>
      <c r="AG20" s="174">
        <f>R20/SUM($R$9:$R$85)</f>
        <v>1.6835016835016835E-2</v>
      </c>
      <c r="AH20" s="175">
        <f>Master_Data[[#This Row],[Imp. Level]]/SUMIF(Master_Data[Subject],Master_Data[[#This Row],[Subject]],Master_Data[Imp. Level])</f>
        <v>0.11627906976744186</v>
      </c>
      <c r="AI20" s="157">
        <f>Master_Data[[#This Row],[Subjectwise weights]]*Master_Data[[#This Row],[Confidence Level]]</f>
        <v>0.34883720930232559</v>
      </c>
      <c r="AJ20" s="158" t="str">
        <f>IF(AND(Master_Data[[#This Row],[Inst. EOC Ques.]]="D",Master_Data[[#This Row],[Class Test Book]]="D"),"D","U")</f>
        <v>U</v>
      </c>
      <c r="AK20" s="155" t="str">
        <f>IF(AND(Master_Data[[#This Row],[Inst. Online Portal]]="D",Master_Data[[#This Row],[Prac. Book]]="D",Master_Data[[#This Row],[Schweser Prac. Bk 1]]="D",Master_Data[[#This Row],[Schweser Prac. Bk 2]]="D"),"D","U")</f>
        <v>U</v>
      </c>
      <c r="AL20" s="270" t="str">
        <f>IF(AND(Master_Data[[#This Row],[Lectures]]="D",Master_Data[[#This Row],[Self Study]]="D"),Master_Data[[#This Row],[No. of Chapters]],"U")</f>
        <v>U</v>
      </c>
    </row>
    <row r="21" spans="2:72" ht="27" customHeight="1">
      <c r="B21" s="3">
        <v>13</v>
      </c>
      <c r="C21" s="183" t="str">
        <f ca="1">IF(Master_Data[[#This Row],[Column1]]="Done","",IF(Master_Data[[#This Row],[Column1]]=MIN(Master_Data[Column1]),"Current Week",CONCATENATE("Week ",Master_Data[[#This Row],[Column1]])))</f>
        <v>Week 4</v>
      </c>
      <c r="D21" s="3">
        <f ca="1">IF(Master_Data[[#This Row],[Cum. Undone hrs]]=0,"Done",ROUNDUP(Master_Data[[#This Row],[Cum. Undone hrs]]/Working!$C$8,0))</f>
        <v>4</v>
      </c>
      <c r="E21" s="3">
        <f ca="1">IF(OR(D21=D20,D21=D20+1),Master_Data[[#This Row],[Column1]],D21-1)</f>
        <v>4</v>
      </c>
      <c r="F21" s="15">
        <f>SUM($G$9:G21)</f>
        <v>3.1222222222222222</v>
      </c>
      <c r="G21" s="26">
        <f>IF(Master_Data[[#This Row],[Lectures]]="D","",Master_Data[[#This Row],[Duration (hh:mm)]])</f>
        <v>6.7361111111111108E-2</v>
      </c>
      <c r="H21" s="2" t="s">
        <v>9</v>
      </c>
      <c r="I21" s="2">
        <v>9</v>
      </c>
      <c r="J21" s="2" t="s">
        <v>135</v>
      </c>
      <c r="K21" s="44" t="s">
        <v>272</v>
      </c>
      <c r="L21" s="273">
        <v>1</v>
      </c>
      <c r="M21" s="16">
        <v>2</v>
      </c>
      <c r="N21" s="43">
        <v>5</v>
      </c>
      <c r="O21" s="43">
        <v>4</v>
      </c>
      <c r="P21" s="43">
        <v>5</v>
      </c>
      <c r="Q21" s="43">
        <v>5</v>
      </c>
      <c r="R21" s="43">
        <v>4</v>
      </c>
      <c r="S21" s="43">
        <v>4</v>
      </c>
      <c r="T21" s="11">
        <v>6.7361111111111108E-2</v>
      </c>
      <c r="U21" s="42">
        <f>(SUM($T$9:T21)/$T$4)*100</f>
        <v>23.326761440282258</v>
      </c>
      <c r="V21" s="27" t="s">
        <v>6</v>
      </c>
      <c r="W21" s="27" t="s">
        <v>6</v>
      </c>
      <c r="X21" s="27" t="s">
        <v>6</v>
      </c>
      <c r="Y21" s="27" t="s">
        <v>6</v>
      </c>
      <c r="Z21" s="27" t="s">
        <v>6</v>
      </c>
      <c r="AA21" s="27" t="s">
        <v>6</v>
      </c>
      <c r="AB21" s="27" t="s">
        <v>6</v>
      </c>
      <c r="AC21" s="27" t="s">
        <v>6</v>
      </c>
      <c r="AD21" s="27" t="s">
        <v>6</v>
      </c>
      <c r="AE21" s="159">
        <v>3</v>
      </c>
      <c r="AF21" s="17"/>
      <c r="AG21" s="174">
        <f>R21/SUM($R$9:$R$85)</f>
        <v>1.3468013468013467E-2</v>
      </c>
      <c r="AH21" s="175">
        <f>Master_Data[[#This Row],[Imp. Level]]/SUMIF(Master_Data[Subject],Master_Data[[#This Row],[Subject]],Master_Data[Imp. Level])</f>
        <v>9.0909090909090912E-2</v>
      </c>
      <c r="AI21" s="157">
        <f>Master_Data[[#This Row],[Subjectwise weights]]*Master_Data[[#This Row],[Confidence Level]]</f>
        <v>0.27272727272727271</v>
      </c>
      <c r="AJ21" s="158" t="str">
        <f>IF(AND(Master_Data[[#This Row],[Inst. EOC Ques.]]="D",Master_Data[[#This Row],[Class Test Book]]="D"),"D","U")</f>
        <v>U</v>
      </c>
      <c r="AK21" s="155" t="str">
        <f>IF(AND(Master_Data[[#This Row],[Inst. Online Portal]]="D",Master_Data[[#This Row],[Prac. Book]]="D",Master_Data[[#This Row],[Schweser Prac. Bk 1]]="D",Master_Data[[#This Row],[Schweser Prac. Bk 2]]="D"),"D","U")</f>
        <v>U</v>
      </c>
      <c r="AL21" s="270" t="str">
        <f>IF(AND(Master_Data[[#This Row],[Lectures]]="D",Master_Data[[#This Row],[Self Study]]="D"),Master_Data[[#This Row],[No. of Chapters]],"U")</f>
        <v>U</v>
      </c>
    </row>
    <row r="22" spans="2:72" ht="27" customHeight="1">
      <c r="B22" s="3">
        <v>14</v>
      </c>
      <c r="C22" s="183" t="str">
        <f ca="1">IF(Master_Data[[#This Row],[Column1]]="Done","",IF(Master_Data[[#This Row],[Column1]]=MIN(Master_Data[Column1]),"Current Week",CONCATENATE("Week ",Master_Data[[#This Row],[Column1]])))</f>
        <v>Week 4</v>
      </c>
      <c r="D22" s="3">
        <f ca="1">IF(Master_Data[[#This Row],[Cum. Undone hrs]]=0,"Done",ROUNDUP(Master_Data[[#This Row],[Cum. Undone hrs]]/Working!$C$8,0))</f>
        <v>4</v>
      </c>
      <c r="E22" s="3">
        <f ca="1">IF(OR(D22=D21,D22=D21+1),Master_Data[[#This Row],[Column1]],D22-1)</f>
        <v>4</v>
      </c>
      <c r="F22" s="26">
        <f>SUM($G$9:G22)</f>
        <v>3.2638888888888888</v>
      </c>
      <c r="G22" s="3">
        <f>IF(Master_Data[[#This Row],[Lectures]]="D","",Master_Data[[#This Row],[Duration (hh:mm)]])</f>
        <v>0.14166666666666666</v>
      </c>
      <c r="H22" s="2" t="s">
        <v>9</v>
      </c>
      <c r="I22" s="2">
        <v>10</v>
      </c>
      <c r="J22" s="2" t="s">
        <v>135</v>
      </c>
      <c r="K22" s="44" t="s">
        <v>197</v>
      </c>
      <c r="L22" s="273">
        <v>1</v>
      </c>
      <c r="M22" s="16">
        <v>6</v>
      </c>
      <c r="N22" s="43">
        <v>3</v>
      </c>
      <c r="O22" s="43">
        <v>4</v>
      </c>
      <c r="P22" s="43">
        <v>4</v>
      </c>
      <c r="Q22" s="43">
        <v>4</v>
      </c>
      <c r="R22" s="43">
        <v>4</v>
      </c>
      <c r="S22" s="43">
        <v>4</v>
      </c>
      <c r="T22" s="11">
        <v>0.14166666666666666</v>
      </c>
      <c r="U22" s="42">
        <f>(SUM($T$9:T22)/$T$4)*100</f>
        <v>24.385182110615347</v>
      </c>
      <c r="V22" s="27" t="s">
        <v>6</v>
      </c>
      <c r="W22" s="27" t="s">
        <v>6</v>
      </c>
      <c r="X22" s="27" t="s">
        <v>6</v>
      </c>
      <c r="Y22" s="27" t="s">
        <v>6</v>
      </c>
      <c r="Z22" s="27" t="s">
        <v>6</v>
      </c>
      <c r="AA22" s="27" t="s">
        <v>6</v>
      </c>
      <c r="AB22" s="27" t="s">
        <v>6</v>
      </c>
      <c r="AC22" s="27" t="s">
        <v>6</v>
      </c>
      <c r="AD22" s="27" t="s">
        <v>6</v>
      </c>
      <c r="AE22" s="159">
        <v>3</v>
      </c>
      <c r="AF22" s="17"/>
      <c r="AG22" s="174">
        <f>R22/SUM($R$9:$R$85)</f>
        <v>1.3468013468013467E-2</v>
      </c>
      <c r="AH22" s="176">
        <f>Master_Data[[#This Row],[Imp. Level]]/SUMIF(Master_Data[Subject],Master_Data[[#This Row],[Subject]],Master_Data[Imp. Level])</f>
        <v>9.0909090909090912E-2</v>
      </c>
      <c r="AI22" s="177">
        <f>Master_Data[[#This Row],[Subjectwise weights]]*Master_Data[[#This Row],[Confidence Level]]</f>
        <v>0.27272727272727271</v>
      </c>
      <c r="AJ22" s="155" t="str">
        <f>IF(AND(Master_Data[[#This Row],[Inst. EOC Ques.]]="D",Master_Data[[#This Row],[Class Test Book]]="D"),"D","U")</f>
        <v>U</v>
      </c>
      <c r="AK22" s="155" t="str">
        <f>IF(AND(Master_Data[[#This Row],[Inst. Online Portal]]="D",Master_Data[[#This Row],[Prac. Book]]="D",Master_Data[[#This Row],[Schweser Prac. Bk 1]]="D",Master_Data[[#This Row],[Schweser Prac. Bk 2]]="D"),"D","U")</f>
        <v>U</v>
      </c>
      <c r="AL22" s="270" t="str">
        <f>IF(AND(Master_Data[[#This Row],[Lectures]]="D",Master_Data[[#This Row],[Self Study]]="D"),Master_Data[[#This Row],[No. of Chapters]],"U")</f>
        <v>U</v>
      </c>
    </row>
    <row r="23" spans="2:72" ht="27" customHeight="1">
      <c r="B23" s="3">
        <v>15</v>
      </c>
      <c r="C23" s="183" t="str">
        <f ca="1">IF(Master_Data[[#This Row],[Column1]]="Done","",IF(Master_Data[[#This Row],[Column1]]=MIN(Master_Data[Column1]),"Current Week",CONCATENATE("Week ",Master_Data[[#This Row],[Column1]])))</f>
        <v>Week 4</v>
      </c>
      <c r="D23" s="3">
        <f ca="1">IF(Master_Data[[#This Row],[Cum. Undone hrs]]=0,"Done",ROUNDUP(Master_Data[[#This Row],[Cum. Undone hrs]]/Working!$C$8,0))</f>
        <v>4</v>
      </c>
      <c r="E23" s="3">
        <f ca="1">IF(OR(D23=D22,D23=D22+1),Master_Data[[#This Row],[Column1]],D23-1)</f>
        <v>4</v>
      </c>
      <c r="F23" s="15">
        <f>SUM($G$9:G23)</f>
        <v>3.4152777777777779</v>
      </c>
      <c r="G23" s="26">
        <f>IF(Master_Data[[#This Row],[Lectures]]="D","",Master_Data[[#This Row],[Duration (hh:mm)]])</f>
        <v>0.15138888888888888</v>
      </c>
      <c r="H23" s="2" t="s">
        <v>226</v>
      </c>
      <c r="I23" s="2" t="s">
        <v>286</v>
      </c>
      <c r="J23" s="2" t="s">
        <v>135</v>
      </c>
      <c r="K23" s="44" t="s">
        <v>18</v>
      </c>
      <c r="L23" s="273">
        <v>2</v>
      </c>
      <c r="M23" s="16">
        <v>15</v>
      </c>
      <c r="N23" s="43">
        <v>4</v>
      </c>
      <c r="O23" s="43">
        <v>2</v>
      </c>
      <c r="P23" s="43">
        <v>4</v>
      </c>
      <c r="Q23" s="43">
        <v>4</v>
      </c>
      <c r="R23" s="43">
        <v>4</v>
      </c>
      <c r="S23" s="43">
        <v>4</v>
      </c>
      <c r="T23" s="13">
        <v>0.15138888888888888</v>
      </c>
      <c r="U23" s="42">
        <f>(SUM($T$9:T23)/$T$4)*100</f>
        <v>25.516239493618357</v>
      </c>
      <c r="V23" s="27" t="s">
        <v>6</v>
      </c>
      <c r="W23" s="27" t="s">
        <v>6</v>
      </c>
      <c r="X23" s="27" t="s">
        <v>6</v>
      </c>
      <c r="Y23" s="27" t="s">
        <v>6</v>
      </c>
      <c r="Z23" s="27" t="s">
        <v>6</v>
      </c>
      <c r="AA23" s="27" t="s">
        <v>6</v>
      </c>
      <c r="AB23" s="27" t="s">
        <v>6</v>
      </c>
      <c r="AC23" s="27" t="s">
        <v>6</v>
      </c>
      <c r="AD23" s="27" t="s">
        <v>6</v>
      </c>
      <c r="AE23" s="159">
        <v>2</v>
      </c>
      <c r="AF23" s="17"/>
      <c r="AG23" s="174">
        <f>R23/SUM($R$9:$R$73)</f>
        <v>1.6E-2</v>
      </c>
      <c r="AH23" s="175">
        <f>Master_Data[[#This Row],[Imp. Level]]/SUMIF(Master_Data[Subject],Master_Data[[#This Row],[Subject]],Master_Data[Imp. Level])</f>
        <v>9.3023255813953487E-2</v>
      </c>
      <c r="AI23" s="157">
        <f>Master_Data[[#This Row],[Subjectwise weights]]*Master_Data[[#This Row],[Confidence Level]]</f>
        <v>0.18604651162790697</v>
      </c>
      <c r="AJ23" s="158" t="str">
        <f>IF(AND(Master_Data[[#This Row],[Inst. EOC Ques.]]="D",Master_Data[[#This Row],[Class Test Book]]="D"),"D","U")</f>
        <v>U</v>
      </c>
      <c r="AK23" s="155" t="str">
        <f>IF(AND(Master_Data[[#This Row],[Inst. Online Portal]]="D",Master_Data[[#This Row],[Prac. Book]]="D",Master_Data[[#This Row],[Schweser Prac. Bk 1]]="D",Master_Data[[#This Row],[Schweser Prac. Bk 2]]="D"),"D","U")</f>
        <v>U</v>
      </c>
      <c r="AL23" s="270" t="str">
        <f>IF(AND(Master_Data[[#This Row],[Lectures]]="D",Master_Data[[#This Row],[Self Study]]="D"),Master_Data[[#This Row],[No. of Chapters]],"U")</f>
        <v>U</v>
      </c>
    </row>
    <row r="24" spans="2:72" ht="27" customHeight="1">
      <c r="B24" s="3">
        <v>16</v>
      </c>
      <c r="C24" s="183" t="str">
        <f ca="1">IF(Master_Data[[#This Row],[Column1]]="Done","",IF(Master_Data[[#This Row],[Column1]]=MIN(Master_Data[Column1]),"Current Week",CONCATENATE("Week ",Master_Data[[#This Row],[Column1]])))</f>
        <v>Week 4</v>
      </c>
      <c r="D24" s="3">
        <f ca="1">IF(Master_Data[[#This Row],[Cum. Undone hrs]]=0,"Done",ROUNDUP(Master_Data[[#This Row],[Cum. Undone hrs]]/Working!$C$8,0))</f>
        <v>4</v>
      </c>
      <c r="E24" s="3">
        <f ca="1">IF(OR(D24=D23,D24=D23+1),Master_Data[[#This Row],[Column1]],D24-1)</f>
        <v>4</v>
      </c>
      <c r="F24" s="15">
        <f>SUM($G$9:G24)</f>
        <v>3.5833333333333335</v>
      </c>
      <c r="G24" s="26">
        <f>IF(Master_Data[[#This Row],[Lectures]]="D","",Master_Data[[#This Row],[Duration (hh:mm)]])</f>
        <v>0.16805555555555554</v>
      </c>
      <c r="H24" s="2" t="s">
        <v>226</v>
      </c>
      <c r="I24" s="2" t="s">
        <v>289</v>
      </c>
      <c r="J24" s="2" t="s">
        <v>135</v>
      </c>
      <c r="K24" s="44" t="s">
        <v>19</v>
      </c>
      <c r="L24" s="273">
        <v>2</v>
      </c>
      <c r="M24" s="16">
        <v>10</v>
      </c>
      <c r="N24" s="43">
        <v>4</v>
      </c>
      <c r="O24" s="43">
        <v>3</v>
      </c>
      <c r="P24" s="43">
        <v>5</v>
      </c>
      <c r="Q24" s="43">
        <v>5</v>
      </c>
      <c r="R24" s="43">
        <v>4</v>
      </c>
      <c r="S24" s="43">
        <v>4</v>
      </c>
      <c r="T24" s="13">
        <v>0.16805555555555554</v>
      </c>
      <c r="U24" s="42">
        <f>(SUM($T$9:T24)/$T$4)*100</f>
        <v>26.771816955484084</v>
      </c>
      <c r="V24" s="27" t="s">
        <v>6</v>
      </c>
      <c r="W24" s="27" t="s">
        <v>6</v>
      </c>
      <c r="X24" s="27" t="s">
        <v>6</v>
      </c>
      <c r="Y24" s="27" t="s">
        <v>6</v>
      </c>
      <c r="Z24" s="27" t="s">
        <v>6</v>
      </c>
      <c r="AA24" s="27" t="s">
        <v>6</v>
      </c>
      <c r="AB24" s="27" t="s">
        <v>6</v>
      </c>
      <c r="AC24" s="27" t="s">
        <v>6</v>
      </c>
      <c r="AD24" s="27" t="s">
        <v>6</v>
      </c>
      <c r="AE24" s="159">
        <v>2</v>
      </c>
      <c r="AF24" s="17"/>
      <c r="AG24" s="174">
        <f t="shared" ref="AG24:AG29" si="1">R24/SUM($R$9:$R$85)</f>
        <v>1.3468013468013467E-2</v>
      </c>
      <c r="AH24" s="175">
        <f>Master_Data[[#This Row],[Imp. Level]]/SUMIF(Master_Data[Subject],Master_Data[[#This Row],[Subject]],Master_Data[Imp. Level])</f>
        <v>9.3023255813953487E-2</v>
      </c>
      <c r="AI24" s="157">
        <f>Master_Data[[#This Row],[Subjectwise weights]]*Master_Data[[#This Row],[Confidence Level]]</f>
        <v>0.18604651162790697</v>
      </c>
      <c r="AJ24" s="158" t="str">
        <f>IF(AND(Master_Data[[#This Row],[Inst. EOC Ques.]]="D",Master_Data[[#This Row],[Class Test Book]]="D"),"D","U")</f>
        <v>U</v>
      </c>
      <c r="AK24" s="158" t="str">
        <f>IF(AND(Master_Data[[#This Row],[Inst. Online Portal]]="D",Master_Data[[#This Row],[Prac. Book]]="D",Master_Data[[#This Row],[Schweser Prac. Bk 1]]="D",Master_Data[[#This Row],[Schweser Prac. Bk 2]]="D"),"D","U")</f>
        <v>U</v>
      </c>
      <c r="AL24" s="270" t="str">
        <f>IF(AND(Master_Data[[#This Row],[Lectures]]="D",Master_Data[[#This Row],[Self Study]]="D"),Master_Data[[#This Row],[No. of Chapters]],"U")</f>
        <v>U</v>
      </c>
    </row>
    <row r="25" spans="2:72" ht="27" customHeight="1">
      <c r="B25" s="3">
        <v>17</v>
      </c>
      <c r="C25" s="183" t="str">
        <f ca="1">IF(Master_Data[[#This Row],[Column1]]="Done","",IF(Master_Data[[#This Row],[Column1]]=MIN(Master_Data[Column1]),"Current Week",CONCATENATE("Week ",Master_Data[[#This Row],[Column1]])))</f>
        <v>Week 4</v>
      </c>
      <c r="D25" s="3">
        <f ca="1">IF(Master_Data[[#This Row],[Cum. Undone hrs]]=0,"Done",ROUNDUP(Master_Data[[#This Row],[Cum. Undone hrs]]/Working!$C$8,0))</f>
        <v>4</v>
      </c>
      <c r="E25" s="3">
        <f ca="1">IF(OR(D25=D24,D25=D24+1),Master_Data[[#This Row],[Column1]],D25-1)</f>
        <v>4</v>
      </c>
      <c r="F25" s="150">
        <f>SUM($G$9:G25)</f>
        <v>3.8000000000000003</v>
      </c>
      <c r="G25" s="26">
        <f>IF(Master_Data[[#This Row],[Lectures]]="D","",Master_Data[[#This Row],[Duration (hh:mm)]])</f>
        <v>0.21666666666666667</v>
      </c>
      <c r="H25" s="2" t="s">
        <v>232</v>
      </c>
      <c r="I25" s="2" t="s">
        <v>294</v>
      </c>
      <c r="J25" s="2" t="s">
        <v>135</v>
      </c>
      <c r="K25" s="44" t="s">
        <v>247</v>
      </c>
      <c r="L25" s="273">
        <v>2</v>
      </c>
      <c r="M25" s="16">
        <v>5</v>
      </c>
      <c r="N25" s="43">
        <v>5</v>
      </c>
      <c r="O25" s="43">
        <v>2</v>
      </c>
      <c r="P25" s="43">
        <v>4</v>
      </c>
      <c r="Q25" s="43">
        <v>4</v>
      </c>
      <c r="R25" s="43">
        <v>5</v>
      </c>
      <c r="S25" s="43">
        <v>5</v>
      </c>
      <c r="T25" s="13">
        <v>0.21666666666666667</v>
      </c>
      <c r="U25" s="42">
        <f>(SUM($T$9:T25)/$T$4)*100</f>
        <v>28.390577980699405</v>
      </c>
      <c r="V25" s="27" t="s">
        <v>6</v>
      </c>
      <c r="W25" s="27" t="s">
        <v>6</v>
      </c>
      <c r="X25" s="27" t="s">
        <v>6</v>
      </c>
      <c r="Y25" s="27" t="s">
        <v>6</v>
      </c>
      <c r="Z25" s="27" t="s">
        <v>6</v>
      </c>
      <c r="AA25" s="27" t="s">
        <v>6</v>
      </c>
      <c r="AB25" s="27" t="s">
        <v>6</v>
      </c>
      <c r="AC25" s="27" t="s">
        <v>6</v>
      </c>
      <c r="AD25" s="27" t="s">
        <v>6</v>
      </c>
      <c r="AE25" s="159">
        <v>2</v>
      </c>
      <c r="AF25" s="17"/>
      <c r="AG25" s="174">
        <f t="shared" si="1"/>
        <v>1.6835016835016835E-2</v>
      </c>
      <c r="AH25" s="175">
        <f>Master_Data[[#This Row],[Imp. Level]]/SUMIF(Master_Data[Subject],Master_Data[[#This Row],[Subject]],Master_Data[Imp. Level])</f>
        <v>0.16666666666666666</v>
      </c>
      <c r="AI25" s="157">
        <f>Master_Data[[#This Row],[Subjectwise weights]]*Master_Data[[#This Row],[Confidence Level]]</f>
        <v>0.33333333333333331</v>
      </c>
      <c r="AJ25" s="158" t="str">
        <f>IF(AND(Master_Data[[#This Row],[Inst. EOC Ques.]]="D",Master_Data[[#This Row],[Class Test Book]]="D"),"D","U")</f>
        <v>U</v>
      </c>
      <c r="AK25" s="155" t="str">
        <f>IF(AND(Master_Data[[#This Row],[Inst. Online Portal]]="D",Master_Data[[#This Row],[Prac. Book]]="D",Master_Data[[#This Row],[Schweser Prac. Bk 1]]="D",Master_Data[[#This Row],[Schweser Prac. Bk 2]]="D"),"D","U")</f>
        <v>U</v>
      </c>
      <c r="AL25" s="270" t="str">
        <f>IF(AND(Master_Data[[#This Row],[Lectures]]="D",Master_Data[[#This Row],[Self Study]]="D"),Master_Data[[#This Row],[No. of Chapters]],"U")</f>
        <v>U</v>
      </c>
    </row>
    <row r="26" spans="2:72" ht="27" customHeight="1">
      <c r="B26" s="3">
        <v>18</v>
      </c>
      <c r="C26" s="183" t="str">
        <f ca="1">IF(Master_Data[[#This Row],[Column1]]="Done","",IF(Master_Data[[#This Row],[Column1]]=MIN(Master_Data[Column1]),"Current Week",CONCATENATE("Week ",Master_Data[[#This Row],[Column1]])))</f>
        <v>Week 4</v>
      </c>
      <c r="D26" s="3">
        <f ca="1">IF(Master_Data[[#This Row],[Cum. Undone hrs]]=0,"Done",ROUNDUP(Master_Data[[#This Row],[Cum. Undone hrs]]/Working!$C$8,0))</f>
        <v>4</v>
      </c>
      <c r="E26" s="3">
        <f ca="1">IF(OR(D26=D25,D26=D25+1),Master_Data[[#This Row],[Column1]],D26-1)</f>
        <v>4</v>
      </c>
      <c r="F26" s="15">
        <f>SUM($G$9:G26)</f>
        <v>3.8937500000000003</v>
      </c>
      <c r="G26" s="26">
        <f>IF(Master_Data[[#This Row],[Lectures]]="D","",Master_Data[[#This Row],[Duration (hh:mm)]])</f>
        <v>9.375E-2</v>
      </c>
      <c r="H26" s="2" t="s">
        <v>232</v>
      </c>
      <c r="I26" s="2">
        <v>79</v>
      </c>
      <c r="J26" s="2" t="s">
        <v>135</v>
      </c>
      <c r="K26" s="44" t="s">
        <v>222</v>
      </c>
      <c r="L26" s="273">
        <v>1</v>
      </c>
      <c r="M26" s="16">
        <v>4</v>
      </c>
      <c r="N26" s="43">
        <v>5</v>
      </c>
      <c r="O26" s="43">
        <v>2</v>
      </c>
      <c r="P26" s="43">
        <v>4</v>
      </c>
      <c r="Q26" s="43">
        <v>4</v>
      </c>
      <c r="R26" s="43">
        <v>5</v>
      </c>
      <c r="S26" s="43">
        <v>5</v>
      </c>
      <c r="T26" s="13">
        <v>9.375E-2</v>
      </c>
      <c r="U26" s="42">
        <f>(SUM($T$9:T26)/$T$4)*100</f>
        <v>29.091003424302187</v>
      </c>
      <c r="V26" s="27" t="s">
        <v>6</v>
      </c>
      <c r="W26" s="27" t="s">
        <v>6</v>
      </c>
      <c r="X26" s="27" t="s">
        <v>6</v>
      </c>
      <c r="Y26" s="27" t="s">
        <v>6</v>
      </c>
      <c r="Z26" s="27" t="s">
        <v>6</v>
      </c>
      <c r="AA26" s="27" t="s">
        <v>6</v>
      </c>
      <c r="AB26" s="27" t="s">
        <v>6</v>
      </c>
      <c r="AC26" s="27" t="s">
        <v>6</v>
      </c>
      <c r="AD26" s="27" t="s">
        <v>6</v>
      </c>
      <c r="AE26" s="159">
        <v>2</v>
      </c>
      <c r="AF26" s="17"/>
      <c r="AG26" s="174">
        <f t="shared" si="1"/>
        <v>1.6835016835016835E-2</v>
      </c>
      <c r="AH26" s="175">
        <f>Master_Data[[#This Row],[Imp. Level]]/SUMIF(Master_Data[Subject],Master_Data[[#This Row],[Subject]],Master_Data[Imp. Level])</f>
        <v>0.16666666666666666</v>
      </c>
      <c r="AI26" s="157">
        <f>Master_Data[[#This Row],[Subjectwise weights]]*Master_Data[[#This Row],[Confidence Level]]</f>
        <v>0.33333333333333331</v>
      </c>
      <c r="AJ26" s="158" t="str">
        <f>IF(AND(Master_Data[[#This Row],[Inst. EOC Ques.]]="D",Master_Data[[#This Row],[Class Test Book]]="D"),"D","U")</f>
        <v>U</v>
      </c>
      <c r="AK26" s="155" t="str">
        <f>IF(AND(Master_Data[[#This Row],[Inst. Online Portal]]="D",Master_Data[[#This Row],[Prac. Book]]="D",Master_Data[[#This Row],[Schweser Prac. Bk 1]]="D",Master_Data[[#This Row],[Schweser Prac. Bk 2]]="D"),"D","U")</f>
        <v>U</v>
      </c>
      <c r="AL26" s="270" t="str">
        <f>IF(AND(Master_Data[[#This Row],[Lectures]]="D",Master_Data[[#This Row],[Self Study]]="D"),Master_Data[[#This Row],[No. of Chapters]],"U")</f>
        <v>U</v>
      </c>
    </row>
    <row r="27" spans="2:72" ht="27" customHeight="1">
      <c r="B27" s="3">
        <v>19</v>
      </c>
      <c r="C27" s="183" t="str">
        <f ca="1">IF(Master_Data[[#This Row],[Column1]]="Done","",IF(Master_Data[[#This Row],[Column1]]=MIN(Master_Data[Column1]),"Current Week",CONCATENATE("Week ",Master_Data[[#This Row],[Column1]])))</f>
        <v>Week 4</v>
      </c>
      <c r="D27" s="3">
        <f ca="1">IF(Master_Data[[#This Row],[Cum. Undone hrs]]=0,"Done",ROUNDUP(Master_Data[[#This Row],[Cum. Undone hrs]]/Working!$C$8,0))</f>
        <v>4</v>
      </c>
      <c r="E27" s="3">
        <f ca="1">IF(OR(D27=D26,D27=D26+1),Master_Data[[#This Row],[Column1]],D27-1)</f>
        <v>4</v>
      </c>
      <c r="F27" s="15">
        <f>SUM($G$9:G27)</f>
        <v>3.9409722222222223</v>
      </c>
      <c r="G27" s="26">
        <f>IF(Master_Data[[#This Row],[Lectures]]="D","",Master_Data[[#This Row],[Duration (hh:mm)]])</f>
        <v>4.7222222222222221E-2</v>
      </c>
      <c r="H27" s="2" t="s">
        <v>232</v>
      </c>
      <c r="I27" s="2">
        <v>80</v>
      </c>
      <c r="J27" s="2" t="s">
        <v>135</v>
      </c>
      <c r="K27" s="44" t="s">
        <v>223</v>
      </c>
      <c r="L27" s="273">
        <v>1</v>
      </c>
      <c r="M27" s="16">
        <v>3</v>
      </c>
      <c r="N27" s="43">
        <v>5</v>
      </c>
      <c r="O27" s="43">
        <v>2</v>
      </c>
      <c r="P27" s="43">
        <v>4</v>
      </c>
      <c r="Q27" s="43">
        <v>4</v>
      </c>
      <c r="R27" s="43">
        <v>5</v>
      </c>
      <c r="S27" s="43">
        <v>5</v>
      </c>
      <c r="T27" s="12">
        <v>4.7222222222222221E-2</v>
      </c>
      <c r="U27" s="42">
        <f>(SUM($T$9:T27)/$T$4)*100</f>
        <v>29.443810314413216</v>
      </c>
      <c r="V27" s="27" t="s">
        <v>6</v>
      </c>
      <c r="W27" s="27" t="s">
        <v>6</v>
      </c>
      <c r="X27" s="27" t="s">
        <v>6</v>
      </c>
      <c r="Y27" s="27" t="s">
        <v>6</v>
      </c>
      <c r="Z27" s="27" t="s">
        <v>6</v>
      </c>
      <c r="AA27" s="27" t="s">
        <v>6</v>
      </c>
      <c r="AB27" s="27" t="s">
        <v>6</v>
      </c>
      <c r="AC27" s="27" t="s">
        <v>6</v>
      </c>
      <c r="AD27" s="27" t="s">
        <v>6</v>
      </c>
      <c r="AE27" s="159">
        <v>2</v>
      </c>
      <c r="AF27" s="17"/>
      <c r="AG27" s="174">
        <f t="shared" si="1"/>
        <v>1.6835016835016835E-2</v>
      </c>
      <c r="AH27" s="175">
        <f>Master_Data[[#This Row],[Imp. Level]]/SUMIF(Master_Data[Subject],Master_Data[[#This Row],[Subject]],Master_Data[Imp. Level])</f>
        <v>0.16666666666666666</v>
      </c>
      <c r="AI27" s="157">
        <f>Master_Data[[#This Row],[Subjectwise weights]]*Master_Data[[#This Row],[Confidence Level]]</f>
        <v>0.33333333333333331</v>
      </c>
      <c r="AJ27" s="158" t="str">
        <f>IF(AND(Master_Data[[#This Row],[Inst. EOC Ques.]]="D",Master_Data[[#This Row],[Class Test Book]]="D"),"D","U")</f>
        <v>U</v>
      </c>
      <c r="AK27" s="155" t="str">
        <f>IF(AND(Master_Data[[#This Row],[Inst. Online Portal]]="D",Master_Data[[#This Row],[Prac. Book]]="D",Master_Data[[#This Row],[Schweser Prac. Bk 1]]="D",Master_Data[[#This Row],[Schweser Prac. Bk 2]]="D"),"D","U")</f>
        <v>U</v>
      </c>
      <c r="AL27" s="270" t="str">
        <f>IF(AND(Master_Data[[#This Row],[Lectures]]="D",Master_Data[[#This Row],[Self Study]]="D"),Master_Data[[#This Row],[No. of Chapters]],"U")</f>
        <v>U</v>
      </c>
    </row>
    <row r="28" spans="2:72" ht="27" customHeight="1">
      <c r="B28" s="3">
        <v>20</v>
      </c>
      <c r="C28" s="183" t="str">
        <f ca="1">IF(Master_Data[[#This Row],[Column1]]="Done","",IF(Master_Data[[#This Row],[Column1]]=MIN(Master_Data[Column1]),"Current Week",CONCATENATE("Week ",Master_Data[[#This Row],[Column1]])))</f>
        <v>Week 4</v>
      </c>
      <c r="D28" s="3">
        <f ca="1">IF(Master_Data[[#This Row],[Cum. Undone hrs]]=0,"Done",ROUNDUP(Master_Data[[#This Row],[Cum. Undone hrs]]/Working!$C$8,0))</f>
        <v>4</v>
      </c>
      <c r="E28" s="3">
        <f ca="1">IF(OR(D28=D27,D28=D27+1),Master_Data[[#This Row],[Column1]],D28-1)</f>
        <v>4</v>
      </c>
      <c r="F28" s="15">
        <f>SUM($G$9:G28)</f>
        <v>4.0291666666666668</v>
      </c>
      <c r="G28" s="26">
        <f>IF(Master_Data[[#This Row],[Lectures]]="D","",Master_Data[[#This Row],[Duration (hh:mm)]])</f>
        <v>8.819444444444445E-2</v>
      </c>
      <c r="H28" s="2" t="s">
        <v>232</v>
      </c>
      <c r="I28" s="2">
        <v>78</v>
      </c>
      <c r="J28" s="2" t="s">
        <v>135</v>
      </c>
      <c r="K28" s="44" t="s">
        <v>248</v>
      </c>
      <c r="L28" s="273">
        <v>1</v>
      </c>
      <c r="M28" s="16">
        <v>3</v>
      </c>
      <c r="N28" s="43">
        <v>5</v>
      </c>
      <c r="O28" s="43">
        <v>2</v>
      </c>
      <c r="P28" s="43">
        <v>4</v>
      </c>
      <c r="Q28" s="43">
        <v>4</v>
      </c>
      <c r="R28" s="43">
        <v>5</v>
      </c>
      <c r="S28" s="43">
        <v>5</v>
      </c>
      <c r="T28" s="13">
        <v>8.819444444444445E-2</v>
      </c>
      <c r="U28" s="42">
        <f>(SUM($T$9:T28)/$T$4)*100</f>
        <v>30.102729065061755</v>
      </c>
      <c r="V28" s="27" t="s">
        <v>6</v>
      </c>
      <c r="W28" s="27" t="s">
        <v>6</v>
      </c>
      <c r="X28" s="27" t="s">
        <v>6</v>
      </c>
      <c r="Y28" s="27" t="s">
        <v>6</v>
      </c>
      <c r="Z28" s="27" t="s">
        <v>6</v>
      </c>
      <c r="AA28" s="27" t="s">
        <v>6</v>
      </c>
      <c r="AB28" s="27" t="s">
        <v>6</v>
      </c>
      <c r="AC28" s="27" t="s">
        <v>6</v>
      </c>
      <c r="AD28" s="27" t="s">
        <v>6</v>
      </c>
      <c r="AE28" s="159">
        <v>3</v>
      </c>
      <c r="AF28" s="17"/>
      <c r="AG28" s="174">
        <f t="shared" si="1"/>
        <v>1.6835016835016835E-2</v>
      </c>
      <c r="AH28" s="175">
        <f>Master_Data[[#This Row],[Imp. Level]]/SUMIF(Master_Data[Subject],Master_Data[[#This Row],[Subject]],Master_Data[Imp. Level])</f>
        <v>0.16666666666666666</v>
      </c>
      <c r="AI28" s="157">
        <f>Master_Data[[#This Row],[Subjectwise weights]]*Master_Data[[#This Row],[Confidence Level]]</f>
        <v>0.5</v>
      </c>
      <c r="AJ28" s="158" t="str">
        <f>IF(AND(Master_Data[[#This Row],[Inst. EOC Ques.]]="D",Master_Data[[#This Row],[Class Test Book]]="D"),"D","U")</f>
        <v>U</v>
      </c>
      <c r="AK28" s="155" t="str">
        <f>IF(AND(Master_Data[[#This Row],[Inst. Online Portal]]="D",Master_Data[[#This Row],[Prac. Book]]="D",Master_Data[[#This Row],[Schweser Prac. Bk 1]]="D",Master_Data[[#This Row],[Schweser Prac. Bk 2]]="D"),"D","U")</f>
        <v>U</v>
      </c>
      <c r="AL28" s="270" t="str">
        <f>IF(AND(Master_Data[[#This Row],[Lectures]]="D",Master_Data[[#This Row],[Self Study]]="D"),Master_Data[[#This Row],[No. of Chapters]],"U")</f>
        <v>U</v>
      </c>
    </row>
    <row r="29" spans="2:72" ht="27" customHeight="1">
      <c r="B29" s="3">
        <v>21</v>
      </c>
      <c r="C29" s="183" t="str">
        <f ca="1">IF(Master_Data[[#This Row],[Column1]]="Done","",IF(Master_Data[[#This Row],[Column1]]=MIN(Master_Data[Column1]),"Current Week",CONCATENATE("Week ",Master_Data[[#This Row],[Column1]])))</f>
        <v>Week 5</v>
      </c>
      <c r="D29" s="3">
        <f ca="1">IF(Master_Data[[#This Row],[Cum. Undone hrs]]=0,"Done",ROUNDUP(Master_Data[[#This Row],[Cum. Undone hrs]]/Working!$C$8,0))</f>
        <v>5</v>
      </c>
      <c r="E29" s="3">
        <f ca="1">IF(OR(D29=D28,D29=D28+1),Master_Data[[#This Row],[Column1]],D29-1)</f>
        <v>5</v>
      </c>
      <c r="F29" s="15">
        <f>SUM($G$9:G29)</f>
        <v>4.1284722222222223</v>
      </c>
      <c r="G29" s="26">
        <f>IF(Master_Data[[#This Row],[Lectures]]="D","",Master_Data[[#This Row],[Duration (hh:mm)]])</f>
        <v>9.930555555555555E-2</v>
      </c>
      <c r="H29" s="2" t="s">
        <v>232</v>
      </c>
      <c r="I29" s="2">
        <v>81</v>
      </c>
      <c r="J29" s="2" t="s">
        <v>135</v>
      </c>
      <c r="K29" s="44" t="s">
        <v>224</v>
      </c>
      <c r="L29" s="273">
        <v>1</v>
      </c>
      <c r="M29" s="16">
        <v>3</v>
      </c>
      <c r="N29" s="43">
        <v>5</v>
      </c>
      <c r="O29" s="43">
        <v>2</v>
      </c>
      <c r="P29" s="43">
        <v>4</v>
      </c>
      <c r="Q29" s="43">
        <v>4</v>
      </c>
      <c r="R29" s="43">
        <v>5</v>
      </c>
      <c r="S29" s="43">
        <v>5</v>
      </c>
      <c r="T29" s="11">
        <v>9.930555555555555E-2</v>
      </c>
      <c r="U29" s="42">
        <f>(SUM($T$9:T29)/$T$4)*100</f>
        <v>30.844661201618777</v>
      </c>
      <c r="V29" s="27" t="s">
        <v>6</v>
      </c>
      <c r="W29" s="27" t="s">
        <v>6</v>
      </c>
      <c r="X29" s="27" t="s">
        <v>6</v>
      </c>
      <c r="Y29" s="27" t="s">
        <v>6</v>
      </c>
      <c r="Z29" s="27" t="s">
        <v>6</v>
      </c>
      <c r="AA29" s="27" t="s">
        <v>6</v>
      </c>
      <c r="AB29" s="27" t="s">
        <v>6</v>
      </c>
      <c r="AC29" s="27" t="s">
        <v>6</v>
      </c>
      <c r="AD29" s="27" t="s">
        <v>6</v>
      </c>
      <c r="AE29" s="159">
        <v>2</v>
      </c>
      <c r="AF29" s="17"/>
      <c r="AG29" s="174">
        <f t="shared" si="1"/>
        <v>1.6835016835016835E-2</v>
      </c>
      <c r="AH29" s="175">
        <f>Master_Data[[#This Row],[Imp. Level]]/SUMIF(Master_Data[Subject],Master_Data[[#This Row],[Subject]],Master_Data[Imp. Level])</f>
        <v>0.16666666666666666</v>
      </c>
      <c r="AI29" s="157">
        <f>Master_Data[[#This Row],[Subjectwise weights]]*Master_Data[[#This Row],[Confidence Level]]</f>
        <v>0.33333333333333331</v>
      </c>
      <c r="AJ29" s="158" t="str">
        <f>IF(AND(Master_Data[[#This Row],[Inst. EOC Ques.]]="D",Master_Data[[#This Row],[Class Test Book]]="D"),"D","U")</f>
        <v>U</v>
      </c>
      <c r="AK29" s="155" t="str">
        <f>IF(AND(Master_Data[[#This Row],[Inst. Online Portal]]="D",Master_Data[[#This Row],[Prac. Book]]="D",Master_Data[[#This Row],[Schweser Prac. Bk 1]]="D",Master_Data[[#This Row],[Schweser Prac. Bk 2]]="D"),"D","U")</f>
        <v>U</v>
      </c>
      <c r="AL29" s="270" t="str">
        <f>IF(AND(Master_Data[[#This Row],[Lectures]]="D",Master_Data[[#This Row],[Self Study]]="D"),Master_Data[[#This Row],[No. of Chapters]],"U")</f>
        <v>U</v>
      </c>
    </row>
    <row r="30" spans="2:72" ht="27" customHeight="1">
      <c r="B30" s="3">
        <v>22</v>
      </c>
      <c r="C30" s="183" t="str">
        <f ca="1">IF(Master_Data[[#This Row],[Column1]]="Done","",IF(Master_Data[[#This Row],[Column1]]=MIN(Master_Data[Column1]),"Current Week",CONCATENATE("Week ",Master_Data[[#This Row],[Column1]])))</f>
        <v>Week 5</v>
      </c>
      <c r="D30" s="3">
        <f ca="1">IF(Master_Data[[#This Row],[Cum. Undone hrs]]=0,"Done",ROUNDUP(Master_Data[[#This Row],[Cum. Undone hrs]]/Working!$C$8,0))</f>
        <v>5</v>
      </c>
      <c r="E30" s="3">
        <f ca="1">IF(OR(D30=D29,D30=D29+1),Master_Data[[#This Row],[Column1]],D30-1)</f>
        <v>5</v>
      </c>
      <c r="F30" s="15">
        <f>SUM($G$9:G30)</f>
        <v>4.3347222222222221</v>
      </c>
      <c r="G30" s="26">
        <f>IF(Master_Data[[#This Row],[Lectures]]="D","",Master_Data[[#This Row],[Duration (hh:mm)]])</f>
        <v>0.20625000000000002</v>
      </c>
      <c r="H30" s="2" t="s">
        <v>232</v>
      </c>
      <c r="I30" s="2">
        <v>82</v>
      </c>
      <c r="J30" s="2" t="s">
        <v>135</v>
      </c>
      <c r="K30" s="44" t="s">
        <v>225</v>
      </c>
      <c r="L30" s="273">
        <v>1</v>
      </c>
      <c r="M30" s="16">
        <v>4</v>
      </c>
      <c r="N30" s="43">
        <v>5</v>
      </c>
      <c r="O30" s="43">
        <v>2</v>
      </c>
      <c r="P30" s="43">
        <v>4</v>
      </c>
      <c r="Q30" s="43">
        <v>4</v>
      </c>
      <c r="R30" s="43">
        <v>5</v>
      </c>
      <c r="S30" s="43">
        <v>5</v>
      </c>
      <c r="T30" s="11">
        <v>0.20625000000000002</v>
      </c>
      <c r="U30" s="42">
        <f>(SUM($T$9:T30)/$T$4)*100</f>
        <v>32.385597177544895</v>
      </c>
      <c r="V30" s="27" t="s">
        <v>6</v>
      </c>
      <c r="W30" s="27" t="s">
        <v>6</v>
      </c>
      <c r="X30" s="27" t="s">
        <v>6</v>
      </c>
      <c r="Y30" s="27" t="s">
        <v>6</v>
      </c>
      <c r="Z30" s="27" t="s">
        <v>6</v>
      </c>
      <c r="AA30" s="27" t="s">
        <v>6</v>
      </c>
      <c r="AB30" s="27" t="s">
        <v>6</v>
      </c>
      <c r="AC30" s="27" t="s">
        <v>6</v>
      </c>
      <c r="AD30" s="27" t="s">
        <v>6</v>
      </c>
      <c r="AE30" s="159">
        <v>2</v>
      </c>
      <c r="AF30" s="17"/>
      <c r="AG30" s="174">
        <f>R30/SUM($R$9:$R$73)</f>
        <v>0.02</v>
      </c>
      <c r="AH30" s="175">
        <f>Master_Data[[#This Row],[Imp. Level]]/SUMIF(Master_Data[Subject],Master_Data[[#This Row],[Subject]],Master_Data[Imp. Level])</f>
        <v>0.16666666666666666</v>
      </c>
      <c r="AI30" s="157">
        <f>Master_Data[[#This Row],[Subjectwise weights]]*Master_Data[[#This Row],[Confidence Level]]</f>
        <v>0.33333333333333331</v>
      </c>
      <c r="AJ30" s="158" t="str">
        <f>IF(AND(Master_Data[[#This Row],[Inst. EOC Ques.]]="D",Master_Data[[#This Row],[Class Test Book]]="D"),"D","U")</f>
        <v>U</v>
      </c>
      <c r="AK30" s="155" t="str">
        <f>IF(AND(Master_Data[[#This Row],[Inst. Online Portal]]="D",Master_Data[[#This Row],[Prac. Book]]="D",Master_Data[[#This Row],[Schweser Prac. Bk 1]]="D",Master_Data[[#This Row],[Schweser Prac. Bk 2]]="D"),"D","U")</f>
        <v>U</v>
      </c>
      <c r="AL30" s="270" t="str">
        <f>IF(AND(Master_Data[[#This Row],[Lectures]]="D",Master_Data[[#This Row],[Self Study]]="D"),Master_Data[[#This Row],[No. of Chapters]],"U")</f>
        <v>U</v>
      </c>
    </row>
    <row r="31" spans="2:72" ht="27" customHeight="1">
      <c r="B31" s="3">
        <v>23</v>
      </c>
      <c r="C31" s="183" t="str">
        <f ca="1">IF(Master_Data[[#This Row],[Column1]]="Done","",IF(Master_Data[[#This Row],[Column1]]=MIN(Master_Data[Column1]),"Current Week",CONCATENATE("Week ",Master_Data[[#This Row],[Column1]])))</f>
        <v>Week 5</v>
      </c>
      <c r="D31" s="3">
        <f ca="1">IF(Master_Data[[#This Row],[Cum. Undone hrs]]=0,"Done",ROUNDUP(Master_Data[[#This Row],[Cum. Undone hrs]]/Working!$C$8,0))</f>
        <v>5</v>
      </c>
      <c r="E31" s="3">
        <f ca="1">IF(OR(D31=D30,D31=D30+1),Master_Data[[#This Row],[Column1]],D31-1)</f>
        <v>5</v>
      </c>
      <c r="F31" s="26">
        <f>SUM($G$9:G31)</f>
        <v>4.7027777777777775</v>
      </c>
      <c r="G31" s="3">
        <f>IF(Master_Data[[#This Row],[Lectures]]="D","",Master_Data[[#This Row],[Duration (hh:mm)]])</f>
        <v>0.36805555555555558</v>
      </c>
      <c r="H31" s="2" t="s">
        <v>226</v>
      </c>
      <c r="I31" s="2" t="s">
        <v>288</v>
      </c>
      <c r="J31" s="2" t="s">
        <v>135</v>
      </c>
      <c r="K31" s="44" t="s">
        <v>263</v>
      </c>
      <c r="L31" s="273">
        <v>2</v>
      </c>
      <c r="M31" s="16">
        <v>6</v>
      </c>
      <c r="N31" s="43">
        <v>5</v>
      </c>
      <c r="O31" s="43">
        <v>3</v>
      </c>
      <c r="P31" s="43">
        <v>4</v>
      </c>
      <c r="Q31" s="43">
        <v>5</v>
      </c>
      <c r="R31" s="43">
        <v>5</v>
      </c>
      <c r="S31" s="43">
        <v>4</v>
      </c>
      <c r="T31" s="11">
        <v>0.36805555555555558</v>
      </c>
      <c r="U31" s="42">
        <f>(SUM($T$9:T31)/$T$4)*100</f>
        <v>35.135415585763219</v>
      </c>
      <c r="V31" s="27" t="s">
        <v>6</v>
      </c>
      <c r="W31" s="27" t="s">
        <v>6</v>
      </c>
      <c r="X31" s="27" t="s">
        <v>6</v>
      </c>
      <c r="Y31" s="27" t="s">
        <v>6</v>
      </c>
      <c r="Z31" s="27" t="s">
        <v>6</v>
      </c>
      <c r="AA31" s="27" t="s">
        <v>6</v>
      </c>
      <c r="AB31" s="27" t="s">
        <v>6</v>
      </c>
      <c r="AC31" s="27" t="s">
        <v>6</v>
      </c>
      <c r="AD31" s="27" t="s">
        <v>6</v>
      </c>
      <c r="AE31" s="159">
        <v>2</v>
      </c>
      <c r="AF31" s="17"/>
      <c r="AG31" s="174">
        <f>R31/SUM($R$9:$R$85)</f>
        <v>1.6835016835016835E-2</v>
      </c>
      <c r="AH31" s="176">
        <f>Master_Data[[#This Row],[Imp. Level]]/SUMIF(Master_Data[Subject],Master_Data[[#This Row],[Subject]],Master_Data[Imp. Level])</f>
        <v>0.11627906976744186</v>
      </c>
      <c r="AI31" s="177">
        <f>Master_Data[[#This Row],[Subjectwise weights]]*Master_Data[[#This Row],[Confidence Level]]</f>
        <v>0.23255813953488372</v>
      </c>
      <c r="AJ31" s="155" t="str">
        <f>IF(AND(Master_Data[[#This Row],[Inst. EOC Ques.]]="D",Master_Data[[#This Row],[Class Test Book]]="D"),"D","U")</f>
        <v>U</v>
      </c>
      <c r="AK31" s="155" t="str">
        <f>IF(AND(Master_Data[[#This Row],[Inst. Online Portal]]="D",Master_Data[[#This Row],[Prac. Book]]="D",Master_Data[[#This Row],[Schweser Prac. Bk 1]]="D",Master_Data[[#This Row],[Schweser Prac. Bk 2]]="D"),"D","U")</f>
        <v>U</v>
      </c>
      <c r="AL31" s="270" t="str">
        <f>IF(AND(Master_Data[[#This Row],[Lectures]]="D",Master_Data[[#This Row],[Self Study]]="D"),Master_Data[[#This Row],[No. of Chapters]],"U")</f>
        <v>U</v>
      </c>
    </row>
    <row r="32" spans="2:72" ht="27" customHeight="1">
      <c r="B32" s="3">
        <v>24</v>
      </c>
      <c r="C32" s="183" t="str">
        <f ca="1">IF(Master_Data[[#This Row],[Column1]]="Done","",IF(Master_Data[[#This Row],[Column1]]=MIN(Master_Data[Column1]),"Current Week",CONCATENATE("Week ",Master_Data[[#This Row],[Column1]])))</f>
        <v>Week 5</v>
      </c>
      <c r="D32" s="3">
        <f ca="1">IF(Master_Data[[#This Row],[Cum. Undone hrs]]=0,"Done",ROUNDUP(Master_Data[[#This Row],[Cum. Undone hrs]]/Working!$C$8,0))</f>
        <v>5</v>
      </c>
      <c r="E32" s="3">
        <f ca="1">IF(OR(D32=D31,D32=D31+1),Master_Data[[#This Row],[Column1]],D32-1)</f>
        <v>5</v>
      </c>
      <c r="F32" s="15">
        <f>SUM($G$9:G32)</f>
        <v>4.8152777777777773</v>
      </c>
      <c r="G32" s="26">
        <f>IF(Master_Data[[#This Row],[Lectures]]="D","",Master_Data[[#This Row],[Duration (hh:mm)]])</f>
        <v>0.1125</v>
      </c>
      <c r="H32" s="2" t="s">
        <v>226</v>
      </c>
      <c r="I32" s="2" t="s">
        <v>287</v>
      </c>
      <c r="J32" s="2" t="s">
        <v>135</v>
      </c>
      <c r="K32" s="44" t="s">
        <v>262</v>
      </c>
      <c r="L32" s="273">
        <v>2</v>
      </c>
      <c r="M32" s="16">
        <v>10</v>
      </c>
      <c r="N32" s="43">
        <v>4</v>
      </c>
      <c r="O32" s="43">
        <v>3</v>
      </c>
      <c r="P32" s="43">
        <v>3</v>
      </c>
      <c r="Q32" s="43">
        <v>4</v>
      </c>
      <c r="R32" s="43">
        <v>4</v>
      </c>
      <c r="S32" s="43">
        <v>4</v>
      </c>
      <c r="T32" s="12">
        <v>0.1125</v>
      </c>
      <c r="U32" s="42">
        <f>(SUM($T$9:T32)/$T$4)*100</f>
        <v>35.975926118086555</v>
      </c>
      <c r="V32" s="27" t="s">
        <v>6</v>
      </c>
      <c r="W32" s="27" t="s">
        <v>6</v>
      </c>
      <c r="X32" s="27" t="s">
        <v>6</v>
      </c>
      <c r="Y32" s="27" t="s">
        <v>6</v>
      </c>
      <c r="Z32" s="27" t="s">
        <v>6</v>
      </c>
      <c r="AA32" s="27" t="s">
        <v>6</v>
      </c>
      <c r="AB32" s="27" t="s">
        <v>6</v>
      </c>
      <c r="AC32" s="27" t="s">
        <v>6</v>
      </c>
      <c r="AD32" s="27" t="s">
        <v>6</v>
      </c>
      <c r="AE32" s="159">
        <v>2</v>
      </c>
      <c r="AF32" s="17"/>
      <c r="AG32" s="174">
        <f>R32/SUM($R$9:$R$73)</f>
        <v>1.6E-2</v>
      </c>
      <c r="AH32" s="175">
        <f>Master_Data[[#This Row],[Imp. Level]]/SUMIF(Master_Data[Subject],Master_Data[[#This Row],[Subject]],Master_Data[Imp. Level])</f>
        <v>9.3023255813953487E-2</v>
      </c>
      <c r="AI32" s="157">
        <f>Master_Data[[#This Row],[Subjectwise weights]]*Master_Data[[#This Row],[Confidence Level]]</f>
        <v>0.18604651162790697</v>
      </c>
      <c r="AJ32" s="158" t="str">
        <f>IF(AND(Master_Data[[#This Row],[Inst. EOC Ques.]]="D",Master_Data[[#This Row],[Class Test Book]]="D"),"D","U")</f>
        <v>U</v>
      </c>
      <c r="AK32" s="155" t="str">
        <f>IF(AND(Master_Data[[#This Row],[Inst. Online Portal]]="D",Master_Data[[#This Row],[Prac. Book]]="D",Master_Data[[#This Row],[Schweser Prac. Bk 1]]="D",Master_Data[[#This Row],[Schweser Prac. Bk 2]]="D"),"D","U")</f>
        <v>U</v>
      </c>
      <c r="AL32" s="270" t="str">
        <f>IF(AND(Master_Data[[#This Row],[Lectures]]="D",Master_Data[[#This Row],[Self Study]]="D"),Master_Data[[#This Row],[No. of Chapters]],"U")</f>
        <v>U</v>
      </c>
    </row>
    <row r="33" spans="2:38" ht="27" customHeight="1">
      <c r="B33" s="3">
        <v>25</v>
      </c>
      <c r="C33" s="183" t="str">
        <f ca="1">IF(Master_Data[[#This Row],[Column1]]="Done","",IF(Master_Data[[#This Row],[Column1]]=MIN(Master_Data[Column1]),"Current Week",CONCATENATE("Week ",Master_Data[[#This Row],[Column1]])))</f>
        <v>Week 5</v>
      </c>
      <c r="D33" s="3">
        <f ca="1">IF(Master_Data[[#This Row],[Cum. Undone hrs]]=0,"Done",ROUNDUP(Master_Data[[#This Row],[Cum. Undone hrs]]/Working!$C$8,0))</f>
        <v>5</v>
      </c>
      <c r="E33" s="3">
        <f ca="1">IF(OR(D33=D32,D33=D32+1),Master_Data[[#This Row],[Column1]],D33-1)</f>
        <v>5</v>
      </c>
      <c r="F33" s="150">
        <f>SUM($G$9:G33)</f>
        <v>4.9097222222222214</v>
      </c>
      <c r="G33" s="26">
        <f>IF(Master_Data[[#This Row],[Lectures]]="D","",Master_Data[[#This Row],[Duration (hh:mm)]])</f>
        <v>9.4444444444444442E-2</v>
      </c>
      <c r="H33" s="2" t="s">
        <v>226</v>
      </c>
      <c r="I33" s="2">
        <v>36</v>
      </c>
      <c r="J33" s="2" t="s">
        <v>135</v>
      </c>
      <c r="K33" s="44" t="s">
        <v>20</v>
      </c>
      <c r="L33" s="273">
        <v>1</v>
      </c>
      <c r="M33" s="16">
        <v>8</v>
      </c>
      <c r="N33" s="43">
        <v>1</v>
      </c>
      <c r="O33" s="43">
        <v>1</v>
      </c>
      <c r="P33" s="43">
        <v>3</v>
      </c>
      <c r="Q33" s="43">
        <v>2</v>
      </c>
      <c r="R33" s="43">
        <v>3</v>
      </c>
      <c r="S33" s="43">
        <v>3</v>
      </c>
      <c r="T33" s="13">
        <v>9.4444444444444442E-2</v>
      </c>
      <c r="U33" s="42">
        <f>(SUM($T$9:T33)/$T$4)*100</f>
        <v>36.681539898308614</v>
      </c>
      <c r="V33" s="27" t="s">
        <v>6</v>
      </c>
      <c r="W33" s="27" t="s">
        <v>6</v>
      </c>
      <c r="X33" s="27" t="s">
        <v>6</v>
      </c>
      <c r="Y33" s="27" t="s">
        <v>6</v>
      </c>
      <c r="Z33" s="27" t="s">
        <v>6</v>
      </c>
      <c r="AA33" s="27" t="s">
        <v>6</v>
      </c>
      <c r="AB33" s="27" t="s">
        <v>6</v>
      </c>
      <c r="AC33" s="27" t="s">
        <v>6</v>
      </c>
      <c r="AD33" s="27" t="s">
        <v>6</v>
      </c>
      <c r="AE33" s="159">
        <v>2</v>
      </c>
      <c r="AF33" s="17"/>
      <c r="AG33" s="174">
        <f>R33/SUM($R$9:$R$85)</f>
        <v>1.0101010101010102E-2</v>
      </c>
      <c r="AH33" s="175">
        <f>Master_Data[[#This Row],[Imp. Level]]/SUMIF(Master_Data[Subject],Master_Data[[#This Row],[Subject]],Master_Data[Imp. Level])</f>
        <v>6.9767441860465115E-2</v>
      </c>
      <c r="AI33" s="157">
        <f>Master_Data[[#This Row],[Subjectwise weights]]*Master_Data[[#This Row],[Confidence Level]]</f>
        <v>0.13953488372093023</v>
      </c>
      <c r="AJ33" s="158" t="str">
        <f>IF(AND(Master_Data[[#This Row],[Inst. EOC Ques.]]="D",Master_Data[[#This Row],[Class Test Book]]="D"),"D","U")</f>
        <v>U</v>
      </c>
      <c r="AK33" s="155" t="str">
        <f>IF(AND(Master_Data[[#This Row],[Inst. Online Portal]]="D",Master_Data[[#This Row],[Prac. Book]]="D",Master_Data[[#This Row],[Schweser Prac. Bk 1]]="D",Master_Data[[#This Row],[Schweser Prac. Bk 2]]="D"),"D","U")</f>
        <v>U</v>
      </c>
      <c r="AL33" s="270" t="str">
        <f>IF(AND(Master_Data[[#This Row],[Lectures]]="D",Master_Data[[#This Row],[Self Study]]="D"),Master_Data[[#This Row],[No. of Chapters]],"U")</f>
        <v>U</v>
      </c>
    </row>
    <row r="34" spans="2:38" ht="27" customHeight="1">
      <c r="B34" s="3">
        <v>26</v>
      </c>
      <c r="C34" s="183" t="str">
        <f ca="1">IF(Master_Data[[#This Row],[Column1]]="Done","",IF(Master_Data[[#This Row],[Column1]]=MIN(Master_Data[Column1]),"Current Week",CONCATENATE("Week ",Master_Data[[#This Row],[Column1]])))</f>
        <v>Week 5</v>
      </c>
      <c r="D34" s="3">
        <f ca="1">IF(Master_Data[[#This Row],[Cum. Undone hrs]]=0,"Done",ROUNDUP(Master_Data[[#This Row],[Cum. Undone hrs]]/Working!$C$8,0))</f>
        <v>5</v>
      </c>
      <c r="E34" s="3">
        <f ca="1">IF(OR(D34=D33,D34=D33+1),Master_Data[[#This Row],[Column1]],D34-1)</f>
        <v>5</v>
      </c>
      <c r="F34" s="15">
        <f>SUM($G$9:G34)</f>
        <v>4.9520833333333325</v>
      </c>
      <c r="G34" s="26">
        <f>IF(Master_Data[[#This Row],[Lectures]]="D","",Master_Data[[#This Row],[Duration (hh:mm)]])</f>
        <v>4.2361111111111106E-2</v>
      </c>
      <c r="H34" s="2" t="s">
        <v>226</v>
      </c>
      <c r="I34" s="2" t="s">
        <v>209</v>
      </c>
      <c r="J34" s="2" t="s">
        <v>135</v>
      </c>
      <c r="K34" s="44" t="s">
        <v>210</v>
      </c>
      <c r="L34" s="273">
        <v>1</v>
      </c>
      <c r="M34" s="16">
        <v>5</v>
      </c>
      <c r="N34" s="43">
        <v>1</v>
      </c>
      <c r="O34" s="43">
        <v>2</v>
      </c>
      <c r="P34" s="43">
        <v>2</v>
      </c>
      <c r="Q34" s="43">
        <v>3</v>
      </c>
      <c r="R34" s="43">
        <v>3</v>
      </c>
      <c r="S34" s="43">
        <v>3</v>
      </c>
      <c r="T34" s="11">
        <v>4.2361111111111106E-2</v>
      </c>
      <c r="U34" s="42">
        <f>(SUM($T$9:T34)/$T$4)*100</f>
        <v>36.998028432084681</v>
      </c>
      <c r="V34" s="27" t="s">
        <v>6</v>
      </c>
      <c r="W34" s="27" t="s">
        <v>6</v>
      </c>
      <c r="X34" s="27" t="s">
        <v>6</v>
      </c>
      <c r="Y34" s="27" t="s">
        <v>6</v>
      </c>
      <c r="Z34" s="27" t="s">
        <v>6</v>
      </c>
      <c r="AA34" s="27" t="s">
        <v>6</v>
      </c>
      <c r="AB34" s="27" t="s">
        <v>6</v>
      </c>
      <c r="AC34" s="27" t="s">
        <v>6</v>
      </c>
      <c r="AD34" s="27" t="s">
        <v>6</v>
      </c>
      <c r="AE34" s="159">
        <v>3</v>
      </c>
      <c r="AF34" s="17"/>
      <c r="AG34" s="174">
        <f>R34/SUM($R$9:$R$73)</f>
        <v>1.2E-2</v>
      </c>
      <c r="AH34" s="175">
        <f>Master_Data[[#This Row],[Imp. Level]]/SUMIF(Master_Data[Subject],Master_Data[[#This Row],[Subject]],Master_Data[Imp. Level])</f>
        <v>6.9767441860465115E-2</v>
      </c>
      <c r="AI34" s="157">
        <f>Master_Data[[#This Row],[Subjectwise weights]]*Master_Data[[#This Row],[Confidence Level]]</f>
        <v>0.20930232558139533</v>
      </c>
      <c r="AJ34" s="158" t="str">
        <f>IF(AND(Master_Data[[#This Row],[Inst. EOC Ques.]]="D",Master_Data[[#This Row],[Class Test Book]]="D"),"D","U")</f>
        <v>U</v>
      </c>
      <c r="AK34" s="155" t="str">
        <f>IF(AND(Master_Data[[#This Row],[Inst. Online Portal]]="D",Master_Data[[#This Row],[Prac. Book]]="D",Master_Data[[#This Row],[Schweser Prac. Bk 1]]="D",Master_Data[[#This Row],[Schweser Prac. Bk 2]]="D"),"D","U")</f>
        <v>U</v>
      </c>
      <c r="AL34" s="270" t="str">
        <f>IF(AND(Master_Data[[#This Row],[Lectures]]="D",Master_Data[[#This Row],[Self Study]]="D"),Master_Data[[#This Row],[No. of Chapters]],"U")</f>
        <v>U</v>
      </c>
    </row>
    <row r="35" spans="2:38" ht="27" customHeight="1">
      <c r="B35" s="3">
        <v>27</v>
      </c>
      <c r="C35" s="183" t="str">
        <f ca="1">IF(Master_Data[[#This Row],[Column1]]="Done","",IF(Master_Data[[#This Row],[Column1]]=MIN(Master_Data[Column1]),"Current Week",CONCATENATE("Week ",Master_Data[[#This Row],[Column1]])))</f>
        <v>Week 5</v>
      </c>
      <c r="D35" s="3">
        <f ca="1">IF(Master_Data[[#This Row],[Cum. Undone hrs]]=0,"Done",ROUNDUP(Master_Data[[#This Row],[Cum. Undone hrs]]/Working!$C$8,0))</f>
        <v>5</v>
      </c>
      <c r="E35" s="3">
        <f ca="1">IF(OR(D35=D34,D35=D34+1),Master_Data[[#This Row],[Column1]],D35-1)</f>
        <v>5</v>
      </c>
      <c r="F35" s="15">
        <f>SUM($G$9:G35)</f>
        <v>5.0833333333333321</v>
      </c>
      <c r="G35" s="26">
        <f>IF(Master_Data[[#This Row],[Lectures]]="D","",Master_Data[[#This Row],[Duration (hh:mm)]])</f>
        <v>0.13125000000000001</v>
      </c>
      <c r="H35" s="2" t="s">
        <v>226</v>
      </c>
      <c r="I35" s="2">
        <v>38</v>
      </c>
      <c r="J35" s="2" t="s">
        <v>135</v>
      </c>
      <c r="K35" s="44" t="s">
        <v>211</v>
      </c>
      <c r="L35" s="273">
        <v>1</v>
      </c>
      <c r="M35" s="16">
        <v>5</v>
      </c>
      <c r="N35" s="43">
        <v>3</v>
      </c>
      <c r="O35" s="43">
        <v>2</v>
      </c>
      <c r="P35" s="43">
        <v>3</v>
      </c>
      <c r="Q35" s="43">
        <v>3</v>
      </c>
      <c r="R35" s="43">
        <v>4</v>
      </c>
      <c r="S35" s="43">
        <v>4</v>
      </c>
      <c r="T35" s="13">
        <v>0.13125000000000001</v>
      </c>
      <c r="U35" s="42">
        <f>(SUM($T$9:T35)/$T$4)*100</f>
        <v>37.978624053128577</v>
      </c>
      <c r="V35" s="27" t="s">
        <v>6</v>
      </c>
      <c r="W35" s="27" t="s">
        <v>6</v>
      </c>
      <c r="X35" s="27" t="s">
        <v>6</v>
      </c>
      <c r="Y35" s="27" t="s">
        <v>6</v>
      </c>
      <c r="Z35" s="27" t="s">
        <v>6</v>
      </c>
      <c r="AA35" s="27" t="s">
        <v>6</v>
      </c>
      <c r="AB35" s="27" t="s">
        <v>6</v>
      </c>
      <c r="AC35" s="27" t="s">
        <v>6</v>
      </c>
      <c r="AD35" s="27" t="s">
        <v>6</v>
      </c>
      <c r="AE35" s="159">
        <v>2</v>
      </c>
      <c r="AF35" s="17"/>
      <c r="AG35" s="174">
        <f>R35/SUM($R$9:$R$73)</f>
        <v>1.6E-2</v>
      </c>
      <c r="AH35" s="175">
        <f>Master_Data[[#This Row],[Imp. Level]]/SUMIF(Master_Data[Subject],Master_Data[[#This Row],[Subject]],Master_Data[Imp. Level])</f>
        <v>9.3023255813953487E-2</v>
      </c>
      <c r="AI35" s="157">
        <f>Master_Data[[#This Row],[Subjectwise weights]]*Master_Data[[#This Row],[Confidence Level]]</f>
        <v>0.18604651162790697</v>
      </c>
      <c r="AJ35" s="158" t="str">
        <f>IF(AND(Master_Data[[#This Row],[Inst. EOC Ques.]]="D",Master_Data[[#This Row],[Class Test Book]]="D"),"D","U")</f>
        <v>U</v>
      </c>
      <c r="AK35" s="155" t="str">
        <f>IF(AND(Master_Data[[#This Row],[Inst. Online Portal]]="D",Master_Data[[#This Row],[Prac. Book]]="D",Master_Data[[#This Row],[Schweser Prac. Bk 1]]="D",Master_Data[[#This Row],[Schweser Prac. Bk 2]]="D"),"D","U")</f>
        <v>U</v>
      </c>
      <c r="AL35" s="270" t="str">
        <f>IF(AND(Master_Data[[#This Row],[Lectures]]="D",Master_Data[[#This Row],[Self Study]]="D"),Master_Data[[#This Row],[No. of Chapters]],"U")</f>
        <v>U</v>
      </c>
    </row>
    <row r="36" spans="2:38" ht="27" customHeight="1">
      <c r="B36" s="3">
        <v>28</v>
      </c>
      <c r="C36" s="183" t="str">
        <f ca="1">IF(Master_Data[[#This Row],[Column1]]="Done","",IF(Master_Data[[#This Row],[Column1]]=MIN(Master_Data[Column1]),"Current Week",CONCATENATE("Week ",Master_Data[[#This Row],[Column1]])))</f>
        <v>Week 6</v>
      </c>
      <c r="D36" s="3">
        <f ca="1">IF(Master_Data[[#This Row],[Cum. Undone hrs]]=0,"Done",ROUNDUP(Master_Data[[#This Row],[Cum. Undone hrs]]/Working!$C$8,0))</f>
        <v>6</v>
      </c>
      <c r="E36" s="3">
        <f ca="1">IF(OR(D36=D35,D36=D35+1),Master_Data[[#This Row],[Column1]],D36-1)</f>
        <v>6</v>
      </c>
      <c r="F36" s="15">
        <f>SUM($G$9:G36)</f>
        <v>5.1972222222222211</v>
      </c>
      <c r="G36" s="26">
        <f>IF(Master_Data[[#This Row],[Lectures]]="D","",Master_Data[[#This Row],[Duration (hh:mm)]])</f>
        <v>0.11388888888888889</v>
      </c>
      <c r="H36" s="2" t="s">
        <v>133</v>
      </c>
      <c r="I36" s="2">
        <v>20</v>
      </c>
      <c r="J36" s="2" t="s">
        <v>135</v>
      </c>
      <c r="K36" s="44" t="s">
        <v>204</v>
      </c>
      <c r="L36" s="273">
        <v>1</v>
      </c>
      <c r="M36" s="16">
        <v>3</v>
      </c>
      <c r="N36" s="43">
        <v>1</v>
      </c>
      <c r="O36" s="43">
        <v>1</v>
      </c>
      <c r="P36" s="43">
        <v>1</v>
      </c>
      <c r="Q36" s="43">
        <v>1</v>
      </c>
      <c r="R36" s="43">
        <v>2</v>
      </c>
      <c r="S36" s="43">
        <v>3</v>
      </c>
      <c r="T36" s="11">
        <v>0.11388888888888889</v>
      </c>
      <c r="U36" s="42">
        <f>(SUM($T$9:T36)/$T$4)*100</f>
        <v>38.829511258690474</v>
      </c>
      <c r="V36" s="27" t="s">
        <v>6</v>
      </c>
      <c r="W36" s="27" t="s">
        <v>6</v>
      </c>
      <c r="X36" s="27" t="s">
        <v>6</v>
      </c>
      <c r="Y36" s="27" t="s">
        <v>6</v>
      </c>
      <c r="Z36" s="27" t="s">
        <v>6</v>
      </c>
      <c r="AA36" s="27" t="s">
        <v>6</v>
      </c>
      <c r="AB36" s="27" t="s">
        <v>6</v>
      </c>
      <c r="AC36" s="27" t="s">
        <v>6</v>
      </c>
      <c r="AD36" s="27" t="s">
        <v>6</v>
      </c>
      <c r="AE36" s="159">
        <v>2</v>
      </c>
      <c r="AF36" s="17"/>
      <c r="AG36" s="174">
        <f>R36/SUM($R$9:$R$85)</f>
        <v>6.7340067340067337E-3</v>
      </c>
      <c r="AH36" s="175">
        <f>Master_Data[[#This Row],[Imp. Level]]/SUMIF(Master_Data[Subject],Master_Data[[#This Row],[Subject]],Master_Data[Imp. Level])</f>
        <v>9.0909090909090912E-2</v>
      </c>
      <c r="AI36" s="157">
        <f>Master_Data[[#This Row],[Subjectwise weights]]*Master_Data[[#This Row],[Confidence Level]]</f>
        <v>0.18181818181818182</v>
      </c>
      <c r="AJ36" s="158" t="str">
        <f>IF(AND(Master_Data[[#This Row],[Inst. EOC Ques.]]="D",Master_Data[[#This Row],[Class Test Book]]="D"),"D","U")</f>
        <v>U</v>
      </c>
      <c r="AK36" s="155" t="str">
        <f>IF(AND(Master_Data[[#This Row],[Inst. Online Portal]]="D",Master_Data[[#This Row],[Prac. Book]]="D",Master_Data[[#This Row],[Schweser Prac. Bk 1]]="D",Master_Data[[#This Row],[Schweser Prac. Bk 2]]="D"),"D","U")</f>
        <v>U</v>
      </c>
      <c r="AL36" s="270" t="str">
        <f>IF(AND(Master_Data[[#This Row],[Lectures]]="D",Master_Data[[#This Row],[Self Study]]="D"),Master_Data[[#This Row],[No. of Chapters]],"U")</f>
        <v>U</v>
      </c>
    </row>
    <row r="37" spans="2:38" ht="27" customHeight="1">
      <c r="B37" s="3">
        <v>29</v>
      </c>
      <c r="C37" s="183" t="str">
        <f ca="1">IF(Master_Data[[#This Row],[Column1]]="Done","",IF(Master_Data[[#This Row],[Column1]]=MIN(Master_Data[Column1]),"Current Week",CONCATENATE("Week ",Master_Data[[#This Row],[Column1]])))</f>
        <v>Week 6</v>
      </c>
      <c r="D37" s="3">
        <f ca="1">IF(Master_Data[[#This Row],[Cum. Undone hrs]]=0,"Done",ROUNDUP(Master_Data[[#This Row],[Cum. Undone hrs]]/Working!$C$8,0))</f>
        <v>6</v>
      </c>
      <c r="E37" s="3">
        <f ca="1">IF(OR(D37=D36,D37=D36+1),Master_Data[[#This Row],[Column1]],D37-1)</f>
        <v>6</v>
      </c>
      <c r="F37" s="15">
        <f>SUM($G$9:G37)</f>
        <v>5.4111111111111097</v>
      </c>
      <c r="G37" s="26">
        <f>IF(Master_Data[[#This Row],[Lectures]]="D","",Master_Data[[#This Row],[Duration (hh:mm)]])</f>
        <v>0.21388888888888891</v>
      </c>
      <c r="H37" s="2" t="s">
        <v>133</v>
      </c>
      <c r="I37" s="2">
        <v>25</v>
      </c>
      <c r="J37" s="2" t="s">
        <v>135</v>
      </c>
      <c r="K37" s="44" t="s">
        <v>130</v>
      </c>
      <c r="L37" s="273">
        <v>1</v>
      </c>
      <c r="M37" s="16">
        <v>4</v>
      </c>
      <c r="N37" s="43">
        <v>3</v>
      </c>
      <c r="O37" s="43">
        <v>2</v>
      </c>
      <c r="P37" s="43">
        <v>3</v>
      </c>
      <c r="Q37" s="43">
        <v>4</v>
      </c>
      <c r="R37" s="43">
        <v>3</v>
      </c>
      <c r="S37" s="43">
        <v>4</v>
      </c>
      <c r="T37" s="13">
        <v>0.21388888888888891</v>
      </c>
      <c r="U37" s="42">
        <f>(SUM($T$9:T37)/$T$4)*100</f>
        <v>40.427518937428673</v>
      </c>
      <c r="V37" s="27" t="s">
        <v>6</v>
      </c>
      <c r="W37" s="27" t="s">
        <v>6</v>
      </c>
      <c r="X37" s="27" t="s">
        <v>6</v>
      </c>
      <c r="Y37" s="27" t="s">
        <v>6</v>
      </c>
      <c r="Z37" s="27" t="s">
        <v>6</v>
      </c>
      <c r="AA37" s="27" t="s">
        <v>6</v>
      </c>
      <c r="AB37" s="27" t="s">
        <v>6</v>
      </c>
      <c r="AC37" s="27" t="s">
        <v>6</v>
      </c>
      <c r="AD37" s="27" t="s">
        <v>6</v>
      </c>
      <c r="AE37" s="159">
        <v>2</v>
      </c>
      <c r="AF37" s="17"/>
      <c r="AG37" s="174">
        <f>R37/SUM($R$9:$R$73)</f>
        <v>1.2E-2</v>
      </c>
      <c r="AH37" s="175">
        <f>Master_Data[[#This Row],[Imp. Level]]/SUMIF(Master_Data[Subject],Master_Data[[#This Row],[Subject]],Master_Data[Imp. Level])</f>
        <v>0.13636363636363635</v>
      </c>
      <c r="AI37" s="157">
        <f>Master_Data[[#This Row],[Subjectwise weights]]*Master_Data[[#This Row],[Confidence Level]]</f>
        <v>0.27272727272727271</v>
      </c>
      <c r="AJ37" s="158" t="str">
        <f>IF(AND(Master_Data[[#This Row],[Inst. EOC Ques.]]="D",Master_Data[[#This Row],[Class Test Book]]="D"),"D","U")</f>
        <v>U</v>
      </c>
      <c r="AK37" s="155" t="str">
        <f>IF(AND(Master_Data[[#This Row],[Inst. Online Portal]]="D",Master_Data[[#This Row],[Prac. Book]]="D",Master_Data[[#This Row],[Schweser Prac. Bk 1]]="D",Master_Data[[#This Row],[Schweser Prac. Bk 2]]="D"),"D","U")</f>
        <v>U</v>
      </c>
      <c r="AL37" s="270" t="str">
        <f>IF(AND(Master_Data[[#This Row],[Lectures]]="D",Master_Data[[#This Row],[Self Study]]="D"),Master_Data[[#This Row],[No. of Chapters]],"U")</f>
        <v>U</v>
      </c>
    </row>
    <row r="38" spans="2:38" ht="27" customHeight="1">
      <c r="B38" s="3">
        <v>30</v>
      </c>
      <c r="C38" s="183" t="str">
        <f ca="1">IF(Master_Data[[#This Row],[Column1]]="Done","",IF(Master_Data[[#This Row],[Column1]]=MIN(Master_Data[Column1]),"Current Week",CONCATENATE("Week ",Master_Data[[#This Row],[Column1]])))</f>
        <v>Week 6</v>
      </c>
      <c r="D38" s="3">
        <f ca="1">IF(Master_Data[[#This Row],[Cum. Undone hrs]]=0,"Done",ROUNDUP(Master_Data[[#This Row],[Cum. Undone hrs]]/Working!$C$8,0))</f>
        <v>6</v>
      </c>
      <c r="E38" s="3">
        <f ca="1">IF(OR(D38=D37,D38=D37+1),Master_Data[[#This Row],[Column1]],D38-1)</f>
        <v>6</v>
      </c>
      <c r="F38" s="15">
        <f>SUM($G$9:G38)</f>
        <v>5.5493055555555539</v>
      </c>
      <c r="G38" s="26">
        <f>IF(Master_Data[[#This Row],[Lectures]]="D","",Master_Data[[#This Row],[Duration (hh:mm)]])</f>
        <v>0.13819444444444443</v>
      </c>
      <c r="H38" s="2" t="s">
        <v>133</v>
      </c>
      <c r="I38" s="2">
        <v>23</v>
      </c>
      <c r="J38" s="2" t="s">
        <v>135</v>
      </c>
      <c r="K38" s="44" t="s">
        <v>194</v>
      </c>
      <c r="L38" s="273">
        <v>1</v>
      </c>
      <c r="M38" s="16">
        <v>3</v>
      </c>
      <c r="N38" s="43">
        <v>4</v>
      </c>
      <c r="O38" s="43">
        <v>4</v>
      </c>
      <c r="P38" s="43">
        <v>3</v>
      </c>
      <c r="Q38" s="43">
        <v>2</v>
      </c>
      <c r="R38" s="43">
        <v>4</v>
      </c>
      <c r="S38" s="43">
        <v>3</v>
      </c>
      <c r="T38" s="13">
        <v>0.13819444444444443</v>
      </c>
      <c r="U38" s="42">
        <f>(SUM($T$9:T38)/$T$4)*100</f>
        <v>41.459997924665359</v>
      </c>
      <c r="V38" s="27" t="s">
        <v>6</v>
      </c>
      <c r="W38" s="27" t="s">
        <v>6</v>
      </c>
      <c r="X38" s="27" t="s">
        <v>6</v>
      </c>
      <c r="Y38" s="27" t="s">
        <v>6</v>
      </c>
      <c r="Z38" s="27" t="s">
        <v>6</v>
      </c>
      <c r="AA38" s="27" t="s">
        <v>6</v>
      </c>
      <c r="AB38" s="27" t="s">
        <v>6</v>
      </c>
      <c r="AC38" s="27" t="s">
        <v>6</v>
      </c>
      <c r="AD38" s="27" t="s">
        <v>6</v>
      </c>
      <c r="AE38" s="159">
        <v>2</v>
      </c>
      <c r="AF38" s="17"/>
      <c r="AG38" s="174">
        <f>R38/SUM($R$9:$R$73)</f>
        <v>1.6E-2</v>
      </c>
      <c r="AH38" s="175">
        <f>Master_Data[[#This Row],[Imp. Level]]/SUMIF(Master_Data[Subject],Master_Data[[#This Row],[Subject]],Master_Data[Imp. Level])</f>
        <v>0.18181818181818182</v>
      </c>
      <c r="AI38" s="157">
        <f>Master_Data[[#This Row],[Subjectwise weights]]*Master_Data[[#This Row],[Confidence Level]]</f>
        <v>0.36363636363636365</v>
      </c>
      <c r="AJ38" s="158" t="str">
        <f>IF(AND(Master_Data[[#This Row],[Inst. EOC Ques.]]="D",Master_Data[[#This Row],[Class Test Book]]="D"),"D","U")</f>
        <v>U</v>
      </c>
      <c r="AK38" s="155" t="str">
        <f>IF(AND(Master_Data[[#This Row],[Inst. Online Portal]]="D",Master_Data[[#This Row],[Prac. Book]]="D",Master_Data[[#This Row],[Schweser Prac. Bk 1]]="D",Master_Data[[#This Row],[Schweser Prac. Bk 2]]="D"),"D","U")</f>
        <v>U</v>
      </c>
      <c r="AL38" s="270" t="str">
        <f>IF(AND(Master_Data[[#This Row],[Lectures]]="D",Master_Data[[#This Row],[Self Study]]="D"),Master_Data[[#This Row],[No. of Chapters]],"U")</f>
        <v>U</v>
      </c>
    </row>
    <row r="39" spans="2:38" ht="27" customHeight="1">
      <c r="B39" s="3">
        <v>31</v>
      </c>
      <c r="C39" s="183" t="str">
        <f ca="1">IF(Master_Data[[#This Row],[Column1]]="Done","",IF(Master_Data[[#This Row],[Column1]]=MIN(Master_Data[Column1]),"Current Week",CONCATENATE("Week ",Master_Data[[#This Row],[Column1]])))</f>
        <v>Week 6</v>
      </c>
      <c r="D39" s="3">
        <f ca="1">IF(Master_Data[[#This Row],[Cum. Undone hrs]]=0,"Done",ROUNDUP(Master_Data[[#This Row],[Cum. Undone hrs]]/Working!$C$8,0))</f>
        <v>6</v>
      </c>
      <c r="E39" s="3">
        <f ca="1">IF(OR(D39=D38,D39=D38+1),Master_Data[[#This Row],[Column1]],D39-1)</f>
        <v>6</v>
      </c>
      <c r="F39" s="15">
        <f>SUM($G$9:G39)</f>
        <v>5.7180555555555541</v>
      </c>
      <c r="G39" s="26">
        <f>IF(Master_Data[[#This Row],[Lectures]]="D","",Master_Data[[#This Row],[Duration (hh:mm)]])</f>
        <v>0.16874999999999998</v>
      </c>
      <c r="H39" s="2" t="s">
        <v>133</v>
      </c>
      <c r="I39" s="2">
        <v>21</v>
      </c>
      <c r="J39" s="2" t="s">
        <v>135</v>
      </c>
      <c r="K39" s="44" t="s">
        <v>205</v>
      </c>
      <c r="L39" s="273">
        <v>1</v>
      </c>
      <c r="M39" s="16">
        <v>3</v>
      </c>
      <c r="N39" s="43">
        <v>1</v>
      </c>
      <c r="O39" s="43">
        <v>1</v>
      </c>
      <c r="P39" s="43">
        <v>1</v>
      </c>
      <c r="Q39" s="43">
        <v>1</v>
      </c>
      <c r="R39" s="43">
        <v>2</v>
      </c>
      <c r="S39" s="43">
        <v>3</v>
      </c>
      <c r="T39" s="12">
        <v>0.16874999999999998</v>
      </c>
      <c r="U39" s="42">
        <f>(SUM($T$9:T39)/$T$4)*100</f>
        <v>42.72076372315037</v>
      </c>
      <c r="V39" s="27" t="s">
        <v>6</v>
      </c>
      <c r="W39" s="27" t="s">
        <v>6</v>
      </c>
      <c r="X39" s="27" t="s">
        <v>6</v>
      </c>
      <c r="Y39" s="27" t="s">
        <v>6</v>
      </c>
      <c r="Z39" s="27" t="s">
        <v>6</v>
      </c>
      <c r="AA39" s="27" t="s">
        <v>6</v>
      </c>
      <c r="AB39" s="27" t="s">
        <v>6</v>
      </c>
      <c r="AC39" s="27" t="s">
        <v>6</v>
      </c>
      <c r="AD39" s="27" t="s">
        <v>6</v>
      </c>
      <c r="AE39" s="159">
        <v>2</v>
      </c>
      <c r="AF39" s="17"/>
      <c r="AG39" s="174">
        <f>R39/SUM($R$9:$R$85)</f>
        <v>6.7340067340067337E-3</v>
      </c>
      <c r="AH39" s="175">
        <f>Master_Data[[#This Row],[Imp. Level]]/SUMIF(Master_Data[Subject],Master_Data[[#This Row],[Subject]],Master_Data[Imp. Level])</f>
        <v>9.0909090909090912E-2</v>
      </c>
      <c r="AI39" s="157">
        <f>Master_Data[[#This Row],[Subjectwise weights]]*Master_Data[[#This Row],[Confidence Level]]</f>
        <v>0.18181818181818182</v>
      </c>
      <c r="AJ39" s="158" t="str">
        <f>IF(AND(Master_Data[[#This Row],[Inst. EOC Ques.]]="D",Master_Data[[#This Row],[Class Test Book]]="D"),"D","U")</f>
        <v>U</v>
      </c>
      <c r="AK39" s="155" t="str">
        <f>IF(AND(Master_Data[[#This Row],[Inst. Online Portal]]="D",Master_Data[[#This Row],[Prac. Book]]="D",Master_Data[[#This Row],[Schweser Prac. Bk 1]]="D",Master_Data[[#This Row],[Schweser Prac. Bk 2]]="D"),"D","U")</f>
        <v>U</v>
      </c>
      <c r="AL39" s="270" t="str">
        <f>IF(AND(Master_Data[[#This Row],[Lectures]]="D",Master_Data[[#This Row],[Self Study]]="D"),Master_Data[[#This Row],[No. of Chapters]],"U")</f>
        <v>U</v>
      </c>
    </row>
    <row r="40" spans="2:38" ht="27" customHeight="1">
      <c r="B40" s="3">
        <v>32</v>
      </c>
      <c r="C40" s="183" t="str">
        <f ca="1">IF(Master_Data[[#This Row],[Column1]]="Done","",IF(Master_Data[[#This Row],[Column1]]=MIN(Master_Data[Column1]),"Current Week",CONCATENATE("Week ",Master_Data[[#This Row],[Column1]])))</f>
        <v>Week 6</v>
      </c>
      <c r="D40" s="3">
        <f ca="1">IF(Master_Data[[#This Row],[Cum. Undone hrs]]=0,"Done",ROUNDUP(Master_Data[[#This Row],[Cum. Undone hrs]]/Working!$C$8,0))</f>
        <v>6</v>
      </c>
      <c r="E40" s="3">
        <f ca="1">IF(OR(D40=D39,D40=D39+1),Master_Data[[#This Row],[Column1]],D40-1)</f>
        <v>6</v>
      </c>
      <c r="F40" s="15">
        <f>SUM($G$9:G40)</f>
        <v>5.8444444444444432</v>
      </c>
      <c r="G40" s="26">
        <f>IF(Master_Data[[#This Row],[Lectures]]="D","",Master_Data[[#This Row],[Duration (hh:mm)]])</f>
        <v>0.12638888888888888</v>
      </c>
      <c r="H40" s="2" t="s">
        <v>133</v>
      </c>
      <c r="I40" s="2">
        <v>22</v>
      </c>
      <c r="J40" s="2" t="s">
        <v>135</v>
      </c>
      <c r="K40" s="44" t="s">
        <v>249</v>
      </c>
      <c r="L40" s="273">
        <v>1</v>
      </c>
      <c r="M40" s="16">
        <v>3</v>
      </c>
      <c r="N40" s="43">
        <v>2</v>
      </c>
      <c r="O40" s="43">
        <v>1</v>
      </c>
      <c r="P40" s="43">
        <v>1</v>
      </c>
      <c r="Q40" s="43">
        <v>3</v>
      </c>
      <c r="R40" s="43">
        <v>3</v>
      </c>
      <c r="S40" s="43">
        <v>3</v>
      </c>
      <c r="T40" s="12">
        <v>0.12638888888888888</v>
      </c>
      <c r="U40" s="42">
        <f>(SUM($T$9:T40)/$T$4)*100</f>
        <v>43.665040987859307</v>
      </c>
      <c r="V40" s="27" t="s">
        <v>6</v>
      </c>
      <c r="W40" s="27" t="s">
        <v>6</v>
      </c>
      <c r="X40" s="27" t="s">
        <v>6</v>
      </c>
      <c r="Y40" s="27" t="s">
        <v>6</v>
      </c>
      <c r="Z40" s="27" t="s">
        <v>6</v>
      </c>
      <c r="AA40" s="27" t="s">
        <v>6</v>
      </c>
      <c r="AB40" s="27" t="s">
        <v>6</v>
      </c>
      <c r="AC40" s="27" t="s">
        <v>6</v>
      </c>
      <c r="AD40" s="27" t="s">
        <v>6</v>
      </c>
      <c r="AE40" s="159">
        <v>2</v>
      </c>
      <c r="AF40" s="17"/>
      <c r="AG40" s="174">
        <f>R40/SUM($R$9:$R$73)</f>
        <v>1.2E-2</v>
      </c>
      <c r="AH40" s="175">
        <f>Master_Data[[#This Row],[Imp. Level]]/SUMIF(Master_Data[Subject],Master_Data[[#This Row],[Subject]],Master_Data[Imp. Level])</f>
        <v>0.13636363636363635</v>
      </c>
      <c r="AI40" s="157">
        <f>Master_Data[[#This Row],[Subjectwise weights]]*Master_Data[[#This Row],[Confidence Level]]</f>
        <v>0.27272727272727271</v>
      </c>
      <c r="AJ40" s="158" t="str">
        <f>IF(AND(Master_Data[[#This Row],[Inst. EOC Ques.]]="D",Master_Data[[#This Row],[Class Test Book]]="D"),"D","U")</f>
        <v>U</v>
      </c>
      <c r="AK40" s="155" t="str">
        <f>IF(AND(Master_Data[[#This Row],[Inst. Online Portal]]="D",Master_Data[[#This Row],[Prac. Book]]="D",Master_Data[[#This Row],[Schweser Prac. Bk 1]]="D",Master_Data[[#This Row],[Schweser Prac. Bk 2]]="D"),"D","U")</f>
        <v>U</v>
      </c>
      <c r="AL40" s="270" t="str">
        <f>IF(AND(Master_Data[[#This Row],[Lectures]]="D",Master_Data[[#This Row],[Self Study]]="D"),Master_Data[[#This Row],[No. of Chapters]],"U")</f>
        <v>U</v>
      </c>
    </row>
    <row r="41" spans="2:38" ht="27" customHeight="1">
      <c r="B41" s="3">
        <v>33</v>
      </c>
      <c r="C41" s="183" t="str">
        <f ca="1">IF(Master_Data[[#This Row],[Column1]]="Done","",IF(Master_Data[[#This Row],[Column1]]=MIN(Master_Data[Column1]),"Current Week",CONCATENATE("Week ",Master_Data[[#This Row],[Column1]])))</f>
        <v>Week 6</v>
      </c>
      <c r="D41" s="3">
        <f ca="1">IF(Master_Data[[#This Row],[Cum. Undone hrs]]=0,"Done",ROUNDUP(Master_Data[[#This Row],[Cum. Undone hrs]]/Working!$C$8,0))</f>
        <v>6</v>
      </c>
      <c r="E41" s="3">
        <f ca="1">IF(OR(D41=D40,D41=D40+1),Master_Data[[#This Row],[Column1]],D41-1)</f>
        <v>6</v>
      </c>
      <c r="F41" s="15">
        <f>SUM($G$9:G41)</f>
        <v>5.9215277777777766</v>
      </c>
      <c r="G41" s="26">
        <f>IF(Master_Data[[#This Row],[Lectures]]="D","",Master_Data[[#This Row],[Duration (hh:mm)]])</f>
        <v>7.7083333333333337E-2</v>
      </c>
      <c r="H41" s="2" t="s">
        <v>133</v>
      </c>
      <c r="I41" s="2">
        <v>26</v>
      </c>
      <c r="J41" s="2" t="s">
        <v>135</v>
      </c>
      <c r="K41" s="44" t="s">
        <v>207</v>
      </c>
      <c r="L41" s="273">
        <v>1</v>
      </c>
      <c r="M41" s="16">
        <v>2</v>
      </c>
      <c r="N41" s="43">
        <v>2</v>
      </c>
      <c r="O41" s="43">
        <v>1</v>
      </c>
      <c r="P41" s="43">
        <v>2</v>
      </c>
      <c r="Q41" s="43">
        <v>3</v>
      </c>
      <c r="R41" s="43">
        <v>3</v>
      </c>
      <c r="S41" s="43">
        <v>3</v>
      </c>
      <c r="T41" s="11">
        <v>7.7083333333333337E-2</v>
      </c>
      <c r="U41" s="42">
        <f>(SUM($T$9:T41)/$T$4)*100</f>
        <v>44.240946352599373</v>
      </c>
      <c r="V41" s="27" t="s">
        <v>6</v>
      </c>
      <c r="W41" s="27" t="s">
        <v>6</v>
      </c>
      <c r="X41" s="27" t="s">
        <v>6</v>
      </c>
      <c r="Y41" s="27" t="s">
        <v>6</v>
      </c>
      <c r="Z41" s="27" t="s">
        <v>6</v>
      </c>
      <c r="AA41" s="27" t="s">
        <v>6</v>
      </c>
      <c r="AB41" s="27" t="s">
        <v>6</v>
      </c>
      <c r="AC41" s="27" t="s">
        <v>6</v>
      </c>
      <c r="AD41" s="27" t="s">
        <v>6</v>
      </c>
      <c r="AE41" s="159">
        <v>2</v>
      </c>
      <c r="AF41" s="17"/>
      <c r="AG41" s="174">
        <f>R41/SUM($R$9:$R$85)</f>
        <v>1.0101010101010102E-2</v>
      </c>
      <c r="AH41" s="175">
        <f>Master_Data[[#This Row],[Imp. Level]]/SUMIF(Master_Data[Subject],Master_Data[[#This Row],[Subject]],Master_Data[Imp. Level])</f>
        <v>0.13636363636363635</v>
      </c>
      <c r="AI41" s="157">
        <f>Master_Data[[#This Row],[Subjectwise weights]]*Master_Data[[#This Row],[Confidence Level]]</f>
        <v>0.27272727272727271</v>
      </c>
      <c r="AJ41" s="158" t="str">
        <f>IF(AND(Master_Data[[#This Row],[Inst. EOC Ques.]]="D",Master_Data[[#This Row],[Class Test Book]]="D"),"D","U")</f>
        <v>U</v>
      </c>
      <c r="AK41" s="155" t="str">
        <f>IF(AND(Master_Data[[#This Row],[Inst. Online Portal]]="D",Master_Data[[#This Row],[Prac. Book]]="D",Master_Data[[#This Row],[Schweser Prac. Bk 1]]="D",Master_Data[[#This Row],[Schweser Prac. Bk 2]]="D"),"D","U")</f>
        <v>U</v>
      </c>
      <c r="AL41" s="270" t="str">
        <f>IF(AND(Master_Data[[#This Row],[Lectures]]="D",Master_Data[[#This Row],[Self Study]]="D"),Master_Data[[#This Row],[No. of Chapters]],"U")</f>
        <v>U</v>
      </c>
    </row>
    <row r="42" spans="2:38" ht="27" customHeight="1">
      <c r="B42" s="3">
        <v>34</v>
      </c>
      <c r="C42" s="183" t="str">
        <f ca="1">IF(Master_Data[[#This Row],[Column1]]="Done","",IF(Master_Data[[#This Row],[Column1]]=MIN(Master_Data[Column1]),"Current Week",CONCATENATE("Week ",Master_Data[[#This Row],[Column1]])))</f>
        <v>Week 7</v>
      </c>
      <c r="D42" s="3">
        <f ca="1">IF(Master_Data[[#This Row],[Cum. Undone hrs]]=0,"Done",ROUNDUP(Master_Data[[#This Row],[Cum. Undone hrs]]/Working!$C$8,0))</f>
        <v>7</v>
      </c>
      <c r="E42" s="3">
        <f ca="1">IF(OR(D42=D41,D42=D41+1),Master_Data[[#This Row],[Column1]],D42-1)</f>
        <v>7</v>
      </c>
      <c r="F42" s="15">
        <f>SUM($G$9:G42)</f>
        <v>6.4937499999999986</v>
      </c>
      <c r="G42" s="26">
        <f>IF(Master_Data[[#This Row],[Lectures]]="D","",Master_Data[[#This Row],[Duration (hh:mm)]])</f>
        <v>0.57222222222222219</v>
      </c>
      <c r="H42" s="2" t="s">
        <v>26</v>
      </c>
      <c r="I42" s="2" t="s">
        <v>292</v>
      </c>
      <c r="J42" s="2" t="s">
        <v>135</v>
      </c>
      <c r="K42" s="44" t="s">
        <v>250</v>
      </c>
      <c r="L42" s="273">
        <v>6</v>
      </c>
      <c r="M42" s="16">
        <v>13</v>
      </c>
      <c r="N42" s="43">
        <v>4</v>
      </c>
      <c r="O42" s="43">
        <v>4</v>
      </c>
      <c r="P42" s="43">
        <v>5</v>
      </c>
      <c r="Q42" s="43">
        <v>5</v>
      </c>
      <c r="R42" s="43">
        <v>5</v>
      </c>
      <c r="S42" s="43">
        <v>5</v>
      </c>
      <c r="T42" s="13">
        <v>0.57222222222222219</v>
      </c>
      <c r="U42" s="42">
        <f>(SUM($T$9:T42)/$T$4)*100</f>
        <v>48.51613572688597</v>
      </c>
      <c r="V42" s="27" t="s">
        <v>6</v>
      </c>
      <c r="W42" s="27" t="s">
        <v>6</v>
      </c>
      <c r="X42" s="27" t="s">
        <v>6</v>
      </c>
      <c r="Y42" s="27" t="s">
        <v>6</v>
      </c>
      <c r="Z42" s="27" t="s">
        <v>6</v>
      </c>
      <c r="AA42" s="27" t="s">
        <v>6</v>
      </c>
      <c r="AB42" s="27" t="s">
        <v>6</v>
      </c>
      <c r="AC42" s="27" t="s">
        <v>6</v>
      </c>
      <c r="AD42" s="27" t="s">
        <v>6</v>
      </c>
      <c r="AE42" s="159">
        <v>3</v>
      </c>
      <c r="AF42" s="17"/>
      <c r="AG42" s="174">
        <f>R42/SUM($R$9:$R$73)</f>
        <v>0.02</v>
      </c>
      <c r="AH42" s="175">
        <f>Master_Data[[#This Row],[Imp. Level]]/SUMIF(Master_Data[Subject],Master_Data[[#This Row],[Subject]],Master_Data[Imp. Level])</f>
        <v>0.33333333333333331</v>
      </c>
      <c r="AI42" s="157">
        <f>Master_Data[[#This Row],[Subjectwise weights]]*Master_Data[[#This Row],[Confidence Level]]</f>
        <v>1</v>
      </c>
      <c r="AJ42" s="158" t="str">
        <f>IF(AND(Master_Data[[#This Row],[Inst. EOC Ques.]]="D",Master_Data[[#This Row],[Class Test Book]]="D"),"D","U")</f>
        <v>U</v>
      </c>
      <c r="AK42" s="155" t="str">
        <f>IF(AND(Master_Data[[#This Row],[Inst. Online Portal]]="D",Master_Data[[#This Row],[Prac. Book]]="D",Master_Data[[#This Row],[Schweser Prac. Bk 1]]="D",Master_Data[[#This Row],[Schweser Prac. Bk 2]]="D"),"D","U")</f>
        <v>U</v>
      </c>
      <c r="AL42" s="270" t="str">
        <f>IF(AND(Master_Data[[#This Row],[Lectures]]="D",Master_Data[[#This Row],[Self Study]]="D"),Master_Data[[#This Row],[No. of Chapters]],"U")</f>
        <v>U</v>
      </c>
    </row>
    <row r="43" spans="2:38" ht="27" customHeight="1">
      <c r="B43" s="3">
        <v>35</v>
      </c>
      <c r="C43" s="183" t="str">
        <f ca="1">IF(Master_Data[[#This Row],[Column1]]="Done","",IF(Master_Data[[#This Row],[Column1]]=MIN(Master_Data[Column1]),"Current Week",CONCATENATE("Week ",Master_Data[[#This Row],[Column1]])))</f>
        <v>Week 7</v>
      </c>
      <c r="D43" s="3">
        <f ca="1">IF(Master_Data[[#This Row],[Cum. Undone hrs]]=0,"Done",ROUNDUP(Master_Data[[#This Row],[Cum. Undone hrs]]/Working!$C$8,0))</f>
        <v>7</v>
      </c>
      <c r="E43" s="3">
        <f ca="1">IF(OR(D43=D42,D43=D42+1),Master_Data[[#This Row],[Column1]],D43-1)</f>
        <v>7</v>
      </c>
      <c r="F43" s="15">
        <f>SUM($G$9:G43)</f>
        <v>6.9958333333333318</v>
      </c>
      <c r="G43" s="26">
        <f>IF(Master_Data[[#This Row],[Lectures]]="D","",Master_Data[[#This Row],[Duration (hh:mm)]])</f>
        <v>0.50208333333333333</v>
      </c>
      <c r="H43" s="2" t="s">
        <v>26</v>
      </c>
      <c r="I43" s="2" t="s">
        <v>293</v>
      </c>
      <c r="J43" s="2" t="s">
        <v>135</v>
      </c>
      <c r="K43" s="44" t="s">
        <v>251</v>
      </c>
      <c r="L43" s="273">
        <v>3</v>
      </c>
      <c r="M43" s="16">
        <v>7</v>
      </c>
      <c r="N43" s="43">
        <v>5</v>
      </c>
      <c r="O43" s="43">
        <v>4</v>
      </c>
      <c r="P43" s="43">
        <v>5</v>
      </c>
      <c r="Q43" s="43">
        <v>5</v>
      </c>
      <c r="R43" s="43">
        <v>5</v>
      </c>
      <c r="S43" s="43">
        <v>5</v>
      </c>
      <c r="T43" s="11">
        <v>0.50208333333333333</v>
      </c>
      <c r="U43" s="42">
        <f>(SUM($T$9:T43)/$T$4)*100</f>
        <v>52.26730310262532</v>
      </c>
      <c r="V43" s="27" t="s">
        <v>6</v>
      </c>
      <c r="W43" s="27" t="s">
        <v>6</v>
      </c>
      <c r="X43" s="27" t="s">
        <v>6</v>
      </c>
      <c r="Y43" s="27" t="s">
        <v>6</v>
      </c>
      <c r="Z43" s="27" t="s">
        <v>6</v>
      </c>
      <c r="AA43" s="27" t="s">
        <v>6</v>
      </c>
      <c r="AB43" s="27" t="s">
        <v>6</v>
      </c>
      <c r="AC43" s="27" t="s">
        <v>6</v>
      </c>
      <c r="AD43" s="27" t="s">
        <v>6</v>
      </c>
      <c r="AE43" s="159">
        <v>2</v>
      </c>
      <c r="AF43" s="17"/>
      <c r="AG43" s="174">
        <f>R43/SUM($R$9:$R$73)</f>
        <v>0.02</v>
      </c>
      <c r="AH43" s="175">
        <f>Master_Data[[#This Row],[Imp. Level]]/SUMIF(Master_Data[Subject],Master_Data[[#This Row],[Subject]],Master_Data[Imp. Level])</f>
        <v>0.33333333333333331</v>
      </c>
      <c r="AI43" s="157">
        <f>Master_Data[[#This Row],[Subjectwise weights]]*Master_Data[[#This Row],[Confidence Level]]</f>
        <v>0.66666666666666663</v>
      </c>
      <c r="AJ43" s="158" t="str">
        <f>IF(AND(Master_Data[[#This Row],[Inst. EOC Ques.]]="D",Master_Data[[#This Row],[Class Test Book]]="D"),"D","U")</f>
        <v>U</v>
      </c>
      <c r="AK43" s="155" t="str">
        <f>IF(AND(Master_Data[[#This Row],[Inst. Online Portal]]="D",Master_Data[[#This Row],[Prac. Book]]="D",Master_Data[[#This Row],[Schweser Prac. Bk 1]]="D",Master_Data[[#This Row],[Schweser Prac. Bk 2]]="D"),"D","U")</f>
        <v>U</v>
      </c>
      <c r="AL43" s="270" t="str">
        <f>IF(AND(Master_Data[[#This Row],[Lectures]]="D",Master_Data[[#This Row],[Self Study]]="D"),Master_Data[[#This Row],[No. of Chapters]],"U")</f>
        <v>U</v>
      </c>
    </row>
    <row r="44" spans="2:38" ht="27" customHeight="1">
      <c r="B44" s="3">
        <v>36</v>
      </c>
      <c r="C44" s="183" t="str">
        <f ca="1">IF(Master_Data[[#This Row],[Column1]]="Done","",IF(Master_Data[[#This Row],[Column1]]=MIN(Master_Data[Column1]),"Current Week",CONCATENATE("Week ",Master_Data[[#This Row],[Column1]])))</f>
        <v>Week 8</v>
      </c>
      <c r="D44" s="3">
        <f ca="1">IF(Master_Data[[#This Row],[Cum. Undone hrs]]=0,"Done",ROUNDUP(Master_Data[[#This Row],[Cum. Undone hrs]]/Working!$C$8,0))</f>
        <v>8</v>
      </c>
      <c r="E44" s="3">
        <f ca="1">IF(OR(D44=D43,D44=D43+1),Master_Data[[#This Row],[Column1]],D44-1)</f>
        <v>8</v>
      </c>
      <c r="F44" s="150">
        <f>SUM($G$9:G44)</f>
        <v>7.4847222222222207</v>
      </c>
      <c r="G44" s="26">
        <f>IF(Master_Data[[#This Row],[Lectures]]="D","",Master_Data[[#This Row],[Duration (hh:mm)]])</f>
        <v>0.48888888888888887</v>
      </c>
      <c r="H44" s="2" t="s">
        <v>25</v>
      </c>
      <c r="I44" s="2" t="s">
        <v>290</v>
      </c>
      <c r="J44" s="2" t="s">
        <v>135</v>
      </c>
      <c r="K44" s="44" t="s">
        <v>264</v>
      </c>
      <c r="L44" s="273">
        <v>3</v>
      </c>
      <c r="M44" s="16">
        <v>8</v>
      </c>
      <c r="N44" s="43">
        <v>5</v>
      </c>
      <c r="O44" s="43">
        <v>4</v>
      </c>
      <c r="P44" s="43">
        <v>4</v>
      </c>
      <c r="Q44" s="43">
        <v>5</v>
      </c>
      <c r="R44" s="43">
        <v>5</v>
      </c>
      <c r="S44" s="43">
        <v>5</v>
      </c>
      <c r="T44" s="13">
        <v>0.48888888888888887</v>
      </c>
      <c r="U44" s="42">
        <f>(SUM($T$9:T44)/$T$4)*100</f>
        <v>55.919892082598331</v>
      </c>
      <c r="V44" s="27" t="s">
        <v>6</v>
      </c>
      <c r="W44" s="27" t="s">
        <v>6</v>
      </c>
      <c r="X44" s="27" t="s">
        <v>6</v>
      </c>
      <c r="Y44" s="27" t="s">
        <v>6</v>
      </c>
      <c r="Z44" s="27" t="s">
        <v>6</v>
      </c>
      <c r="AA44" s="27" t="s">
        <v>6</v>
      </c>
      <c r="AB44" s="27" t="s">
        <v>6</v>
      </c>
      <c r="AC44" s="27" t="s">
        <v>6</v>
      </c>
      <c r="AD44" s="27" t="s">
        <v>6</v>
      </c>
      <c r="AE44" s="159">
        <v>3</v>
      </c>
      <c r="AF44" s="17"/>
      <c r="AG44" s="174">
        <f>R44/SUM($R$9:$R$85)</f>
        <v>1.6835016835016835E-2</v>
      </c>
      <c r="AH44" s="175">
        <f>Master_Data[[#This Row],[Imp. Level]]/SUMIF(Master_Data[Subject],Master_Data[[#This Row],[Subject]],Master_Data[Imp. Level])</f>
        <v>9.8039215686274508E-2</v>
      </c>
      <c r="AI44" s="157">
        <f>Master_Data[[#This Row],[Subjectwise weights]]*Master_Data[[#This Row],[Confidence Level]]</f>
        <v>0.29411764705882354</v>
      </c>
      <c r="AJ44" s="158" t="str">
        <f>IF(AND(Master_Data[[#This Row],[Inst. EOC Ques.]]="D",Master_Data[[#This Row],[Class Test Book]]="D"),"D","U")</f>
        <v>U</v>
      </c>
      <c r="AK44" s="155" t="str">
        <f>IF(AND(Master_Data[[#This Row],[Inst. Online Portal]]="D",Master_Data[[#This Row],[Prac. Book]]="D",Master_Data[[#This Row],[Schweser Prac. Bk 1]]="D",Master_Data[[#This Row],[Schweser Prac. Bk 2]]="D"),"D","U")</f>
        <v>U</v>
      </c>
      <c r="AL44" s="270" t="str">
        <f>IF(AND(Master_Data[[#This Row],[Lectures]]="D",Master_Data[[#This Row],[Self Study]]="D"),Master_Data[[#This Row],[No. of Chapters]],"U")</f>
        <v>U</v>
      </c>
    </row>
    <row r="45" spans="2:38" ht="27" customHeight="1">
      <c r="B45" s="3">
        <v>37</v>
      </c>
      <c r="C45" s="183" t="str">
        <f ca="1">IF(Master_Data[[#This Row],[Column1]]="Done","",IF(Master_Data[[#This Row],[Column1]]=MIN(Master_Data[Column1]),"Current Week",CONCATENATE("Week ",Master_Data[[#This Row],[Column1]])))</f>
        <v>Week 8</v>
      </c>
      <c r="D45" s="3">
        <f ca="1">IF(Master_Data[[#This Row],[Cum. Undone hrs]]=0,"Done",ROUNDUP(Master_Data[[#This Row],[Cum. Undone hrs]]/Working!$C$8,0))</f>
        <v>8</v>
      </c>
      <c r="E45" s="3">
        <f ca="1">IF(OR(D45=D44,D45=D44+1),Master_Data[[#This Row],[Column1]],D45-1)</f>
        <v>8</v>
      </c>
      <c r="F45" s="150">
        <f>SUM($G$9:G45)</f>
        <v>7.570833333333332</v>
      </c>
      <c r="G45" s="26">
        <f>IF(Master_Data[[#This Row],[Lectures]]="D","",Master_Data[[#This Row],[Duration (hh:mm)]])</f>
        <v>8.6111111111111124E-2</v>
      </c>
      <c r="H45" s="2" t="s">
        <v>25</v>
      </c>
      <c r="I45" s="2">
        <v>54</v>
      </c>
      <c r="J45" s="2" t="s">
        <v>135</v>
      </c>
      <c r="K45" s="44" t="s">
        <v>278</v>
      </c>
      <c r="L45" s="273">
        <v>1</v>
      </c>
      <c r="M45" s="16">
        <v>2</v>
      </c>
      <c r="N45" s="43">
        <v>3</v>
      </c>
      <c r="O45" s="43">
        <v>4</v>
      </c>
      <c r="P45" s="43">
        <v>4</v>
      </c>
      <c r="Q45" s="43">
        <v>5</v>
      </c>
      <c r="R45" s="43">
        <v>5</v>
      </c>
      <c r="S45" s="43">
        <v>5</v>
      </c>
      <c r="T45" s="13">
        <v>8.6111111111111124E-2</v>
      </c>
      <c r="U45" s="42">
        <f>(SUM($T$9:T45)/$T$4)*100</f>
        <v>56.563245823389039</v>
      </c>
      <c r="V45" s="27" t="s">
        <v>6</v>
      </c>
      <c r="W45" s="27" t="s">
        <v>6</v>
      </c>
      <c r="X45" s="27" t="s">
        <v>6</v>
      </c>
      <c r="Y45" s="27" t="s">
        <v>6</v>
      </c>
      <c r="Z45" s="27" t="s">
        <v>6</v>
      </c>
      <c r="AA45" s="27" t="s">
        <v>6</v>
      </c>
      <c r="AB45" s="27" t="s">
        <v>6</v>
      </c>
      <c r="AC45" s="27" t="s">
        <v>6</v>
      </c>
      <c r="AD45" s="27" t="s">
        <v>6</v>
      </c>
      <c r="AE45" s="159">
        <v>3</v>
      </c>
      <c r="AF45" s="17"/>
      <c r="AG45" s="174">
        <f>R45/SUM($R$9:$R$85)</f>
        <v>1.6835016835016835E-2</v>
      </c>
      <c r="AH45" s="175">
        <f>Master_Data[[#This Row],[Imp. Level]]/SUMIF(Master_Data[Subject],Master_Data[[#This Row],[Subject]],Master_Data[Imp. Level])</f>
        <v>9.8039215686274508E-2</v>
      </c>
      <c r="AI45" s="157">
        <f>Master_Data[[#This Row],[Subjectwise weights]]*Master_Data[[#This Row],[Confidence Level]]</f>
        <v>0.29411764705882354</v>
      </c>
      <c r="AJ45" s="158" t="str">
        <f>IF(AND(Master_Data[[#This Row],[Inst. EOC Ques.]]="D",Master_Data[[#This Row],[Class Test Book]]="D"),"D","U")</f>
        <v>U</v>
      </c>
      <c r="AK45" s="155" t="str">
        <f>IF(AND(Master_Data[[#This Row],[Inst. Online Portal]]="D",Master_Data[[#This Row],[Prac. Book]]="D",Master_Data[[#This Row],[Schweser Prac. Bk 1]]="D",Master_Data[[#This Row],[Schweser Prac. Bk 2]]="D"),"D","U")</f>
        <v>U</v>
      </c>
      <c r="AL45" s="270" t="str">
        <f>IF(AND(Master_Data[[#This Row],[Lectures]]="D",Master_Data[[#This Row],[Self Study]]="D"),Master_Data[[#This Row],[No. of Chapters]],"U")</f>
        <v>U</v>
      </c>
    </row>
    <row r="46" spans="2:38" ht="27" customHeight="1">
      <c r="B46" s="3">
        <v>38</v>
      </c>
      <c r="C46" s="183" t="str">
        <f ca="1">IF(Master_Data[[#This Row],[Column1]]="Done","",IF(Master_Data[[#This Row],[Column1]]=MIN(Master_Data[Column1]),"Current Week",CONCATENATE("Week ",Master_Data[[#This Row],[Column1]])))</f>
        <v>Week 8</v>
      </c>
      <c r="D46" s="3">
        <f ca="1">IF(Master_Data[[#This Row],[Cum. Undone hrs]]=0,"Done",ROUNDUP(Master_Data[[#This Row],[Cum. Undone hrs]]/Working!$C$8,0))</f>
        <v>8</v>
      </c>
      <c r="E46" s="3">
        <f ca="1">IF(OR(D46=D44,D46=D44+1),Master_Data[[#This Row],[Column1]],D46-1)</f>
        <v>8</v>
      </c>
      <c r="F46" s="150">
        <f>SUM($G$9:G46)</f>
        <v>7.99861111111111</v>
      </c>
      <c r="G46" s="26">
        <f>IF(Master_Data[[#This Row],[Lectures]]="D","",Master_Data[[#This Row],[Duration (hh:mm)]])</f>
        <v>0.42777777777777781</v>
      </c>
      <c r="H46" s="2" t="s">
        <v>25</v>
      </c>
      <c r="I46" s="2" t="s">
        <v>291</v>
      </c>
      <c r="J46" s="2" t="s">
        <v>135</v>
      </c>
      <c r="K46" s="44" t="s">
        <v>265</v>
      </c>
      <c r="L46" s="273">
        <v>4</v>
      </c>
      <c r="M46" s="16">
        <v>12</v>
      </c>
      <c r="N46" s="43">
        <v>5</v>
      </c>
      <c r="O46" s="43">
        <v>4</v>
      </c>
      <c r="P46" s="43">
        <v>5</v>
      </c>
      <c r="Q46" s="43">
        <v>5</v>
      </c>
      <c r="R46" s="43">
        <v>5</v>
      </c>
      <c r="S46" s="43">
        <v>5</v>
      </c>
      <c r="T46" s="13">
        <v>0.42777777777777781</v>
      </c>
      <c r="U46" s="42">
        <f>(SUM($T$9:T46)/$T$4)*100</f>
        <v>59.75926118086543</v>
      </c>
      <c r="V46" s="27" t="s">
        <v>6</v>
      </c>
      <c r="W46" s="27" t="s">
        <v>6</v>
      </c>
      <c r="X46" s="27" t="s">
        <v>6</v>
      </c>
      <c r="Y46" s="27" t="s">
        <v>6</v>
      </c>
      <c r="Z46" s="27" t="s">
        <v>6</v>
      </c>
      <c r="AA46" s="27" t="s">
        <v>6</v>
      </c>
      <c r="AB46" s="27" t="s">
        <v>6</v>
      </c>
      <c r="AC46" s="27" t="s">
        <v>6</v>
      </c>
      <c r="AD46" s="27" t="s">
        <v>6</v>
      </c>
      <c r="AE46" s="159">
        <v>2</v>
      </c>
      <c r="AF46" s="17"/>
      <c r="AG46" s="174">
        <f>R46/SUM($R$9:$R$85)</f>
        <v>1.6835016835016835E-2</v>
      </c>
      <c r="AH46" s="175">
        <f>Master_Data[[#This Row],[Imp. Level]]/SUMIF(Master_Data[Subject],Master_Data[[#This Row],[Subject]],Master_Data[Imp. Level])</f>
        <v>9.8039215686274508E-2</v>
      </c>
      <c r="AI46" s="157">
        <f>Master_Data[[#This Row],[Subjectwise weights]]*Master_Data[[#This Row],[Confidence Level]]</f>
        <v>0.19607843137254902</v>
      </c>
      <c r="AJ46" s="158" t="str">
        <f>IF(AND(Master_Data[[#This Row],[Inst. EOC Ques.]]="D",Master_Data[[#This Row],[Class Test Book]]="D"),"D","U")</f>
        <v>U</v>
      </c>
      <c r="AK46" s="155" t="str">
        <f>IF(AND(Master_Data[[#This Row],[Inst. Online Portal]]="D",Master_Data[[#This Row],[Prac. Book]]="D",Master_Data[[#This Row],[Schweser Prac. Bk 1]]="D",Master_Data[[#This Row],[Schweser Prac. Bk 2]]="D"),"D","U")</f>
        <v>U</v>
      </c>
      <c r="AL46" s="270" t="str">
        <f>IF(AND(Master_Data[[#This Row],[Lectures]]="D",Master_Data[[#This Row],[Self Study]]="D"),Master_Data[[#This Row],[No. of Chapters]],"U")</f>
        <v>U</v>
      </c>
    </row>
    <row r="47" spans="2:38" ht="27" customHeight="1">
      <c r="B47" s="3">
        <v>39</v>
      </c>
      <c r="C47" s="183" t="str">
        <f ca="1">IF(Master_Data[[#This Row],[Column1]]="Done","",IF(Master_Data[[#This Row],[Column1]]=MIN(Master_Data[Column1]),"Current Week",CONCATENATE("Week ",Master_Data[[#This Row],[Column1]])))</f>
        <v>Week 8</v>
      </c>
      <c r="D47" s="3">
        <f ca="1">IF(Master_Data[[#This Row],[Cum. Undone hrs]]=0,"Done",ROUNDUP(Master_Data[[#This Row],[Cum. Undone hrs]]/Working!$C$8,0))</f>
        <v>8</v>
      </c>
      <c r="E47" s="3">
        <f ca="1">IF(OR(D47=D46,D47=D46+1),Master_Data[[#This Row],[Column1]],D47-1)</f>
        <v>8</v>
      </c>
      <c r="F47" s="15">
        <f>SUM($G$9:G47)</f>
        <v>8.0590277777777768</v>
      </c>
      <c r="G47" s="26">
        <f>IF(Master_Data[[#This Row],[Lectures]]="D","",Master_Data[[#This Row],[Duration (hh:mm)]])</f>
        <v>6.0416666666666667E-2</v>
      </c>
      <c r="H47" s="2" t="s">
        <v>26</v>
      </c>
      <c r="I47" s="2">
        <v>72</v>
      </c>
      <c r="J47" s="2" t="s">
        <v>135</v>
      </c>
      <c r="K47" s="44" t="s">
        <v>190</v>
      </c>
      <c r="L47" s="273">
        <v>1</v>
      </c>
      <c r="M47" s="16">
        <v>2</v>
      </c>
      <c r="N47" s="43">
        <v>5</v>
      </c>
      <c r="O47" s="43">
        <v>4</v>
      </c>
      <c r="P47" s="43">
        <v>5</v>
      </c>
      <c r="Q47" s="43">
        <v>5</v>
      </c>
      <c r="R47" s="43">
        <v>5</v>
      </c>
      <c r="S47" s="43">
        <v>5</v>
      </c>
      <c r="T47" s="11">
        <v>6.0416666666666667E-2</v>
      </c>
      <c r="U47" s="42">
        <f>(SUM($T$9:T47)/$T$4)*100</f>
        <v>60.21064646674278</v>
      </c>
      <c r="V47" s="27" t="s">
        <v>6</v>
      </c>
      <c r="W47" s="27" t="s">
        <v>6</v>
      </c>
      <c r="X47" s="27" t="s">
        <v>6</v>
      </c>
      <c r="Y47" s="27" t="s">
        <v>6</v>
      </c>
      <c r="Z47" s="27" t="s">
        <v>6</v>
      </c>
      <c r="AA47" s="27" t="s">
        <v>6</v>
      </c>
      <c r="AB47" s="27" t="s">
        <v>6</v>
      </c>
      <c r="AC47" s="27" t="s">
        <v>6</v>
      </c>
      <c r="AD47" s="27" t="s">
        <v>6</v>
      </c>
      <c r="AE47" s="159">
        <v>2</v>
      </c>
      <c r="AF47" s="17"/>
      <c r="AG47" s="174">
        <f>R47/SUM($R$9:$R$73)</f>
        <v>0.02</v>
      </c>
      <c r="AH47" s="175">
        <f>Master_Data[[#This Row],[Imp. Level]]/SUMIF(Master_Data[Subject],Master_Data[[#This Row],[Subject]],Master_Data[Imp. Level])</f>
        <v>0.33333333333333331</v>
      </c>
      <c r="AI47" s="157">
        <f>Master_Data[[#This Row],[Subjectwise weights]]*Master_Data[[#This Row],[Confidence Level]]</f>
        <v>0.66666666666666663</v>
      </c>
      <c r="AJ47" s="158" t="str">
        <f>IF(AND(Master_Data[[#This Row],[Inst. EOC Ques.]]="D",Master_Data[[#This Row],[Class Test Book]]="D"),"D","U")</f>
        <v>U</v>
      </c>
      <c r="AK47" s="155" t="str">
        <f>IF(AND(Master_Data[[#This Row],[Inst. Online Portal]]="D",Master_Data[[#This Row],[Prac. Book]]="D",Master_Data[[#This Row],[Schweser Prac. Bk 1]]="D",Master_Data[[#This Row],[Schweser Prac. Bk 2]]="D"),"D","U")</f>
        <v>U</v>
      </c>
      <c r="AL47" s="270" t="str">
        <f>IF(AND(Master_Data[[#This Row],[Lectures]]="D",Master_Data[[#This Row],[Self Study]]="D"),Master_Data[[#This Row],[No. of Chapters]],"U")</f>
        <v>U</v>
      </c>
    </row>
    <row r="48" spans="2:38" ht="27" customHeight="1">
      <c r="B48" s="3">
        <v>40</v>
      </c>
      <c r="C48" s="183" t="str">
        <f ca="1">IF(Master_Data[[#This Row],[Column1]]="Done","",IF(Master_Data[[#This Row],[Column1]]=MIN(Master_Data[Column1]),"Current Week",CONCATENATE("Week ",Master_Data[[#This Row],[Column1]])))</f>
        <v>Week 8</v>
      </c>
      <c r="D48" s="3">
        <f ca="1">IF(Master_Data[[#This Row],[Cum. Undone hrs]]=0,"Done",ROUNDUP(Master_Data[[#This Row],[Cum. Undone hrs]]/Working!$C$8,0))</f>
        <v>8</v>
      </c>
      <c r="E48" s="3">
        <f ca="1">IF(OR(D48=D47,D48=D47+1),Master_Data[[#This Row],[Column1]],D48-1)</f>
        <v>8</v>
      </c>
      <c r="F48" s="150">
        <f>SUM($G$9:G48)</f>
        <v>8.1083333333333325</v>
      </c>
      <c r="G48" s="26">
        <f>IF(Master_Data[[#This Row],[Lectures]]="D","",Master_Data[[#This Row],[Duration (hh:mm)]])</f>
        <v>4.9305555555555554E-2</v>
      </c>
      <c r="H48" s="2" t="s">
        <v>11</v>
      </c>
      <c r="I48" s="2">
        <v>89</v>
      </c>
      <c r="J48" s="2" t="s">
        <v>135</v>
      </c>
      <c r="K48" s="44" t="s">
        <v>12</v>
      </c>
      <c r="L48" s="273">
        <v>1</v>
      </c>
      <c r="M48" s="16">
        <v>8</v>
      </c>
      <c r="N48" s="43">
        <v>1</v>
      </c>
      <c r="O48" s="43">
        <v>1</v>
      </c>
      <c r="P48" s="43">
        <v>1</v>
      </c>
      <c r="Q48" s="43">
        <v>1</v>
      </c>
      <c r="R48" s="43">
        <v>1</v>
      </c>
      <c r="S48" s="43">
        <v>2</v>
      </c>
      <c r="T48" s="13">
        <v>4.9305555555555554E-2</v>
      </c>
      <c r="U48" s="42">
        <f>(SUM($T$9:T48)/$T$4)*100</f>
        <v>60.579018366711658</v>
      </c>
      <c r="V48" s="27" t="s">
        <v>6</v>
      </c>
      <c r="W48" s="27" t="s">
        <v>6</v>
      </c>
      <c r="X48" s="27" t="s">
        <v>6</v>
      </c>
      <c r="Y48" s="27" t="s">
        <v>6</v>
      </c>
      <c r="Z48" s="27" t="s">
        <v>6</v>
      </c>
      <c r="AA48" s="27" t="s">
        <v>6</v>
      </c>
      <c r="AB48" s="27" t="s">
        <v>6</v>
      </c>
      <c r="AC48" s="27" t="s">
        <v>6</v>
      </c>
      <c r="AD48" s="27" t="s">
        <v>6</v>
      </c>
      <c r="AE48" s="159">
        <v>3</v>
      </c>
      <c r="AF48" s="17"/>
      <c r="AG48" s="174">
        <f t="shared" ref="AG48:AG53" si="2">R48/SUM($R$9:$R$85)</f>
        <v>3.3670033670033669E-3</v>
      </c>
      <c r="AH48" s="175">
        <f>Master_Data[[#This Row],[Imp. Level]]/SUMIF(Master_Data[Subject],Master_Data[[#This Row],[Subject]],Master_Data[Imp. Level])</f>
        <v>8.3333333333333329E-2</v>
      </c>
      <c r="AI48" s="157">
        <f>Master_Data[[#This Row],[Subjectwise weights]]*Master_Data[[#This Row],[Confidence Level]]</f>
        <v>0.25</v>
      </c>
      <c r="AJ48" s="158" t="str">
        <f>IF(AND(Master_Data[[#This Row],[Inst. EOC Ques.]]="D",Master_Data[[#This Row],[Class Test Book]]="D"),"D","U")</f>
        <v>U</v>
      </c>
      <c r="AK48" s="155" t="str">
        <f>IF(AND(Master_Data[[#This Row],[Inst. Online Portal]]="D",Master_Data[[#This Row],[Prac. Book]]="D",Master_Data[[#This Row],[Schweser Prac. Bk 1]]="D",Master_Data[[#This Row],[Schweser Prac. Bk 2]]="D"),"D","U")</f>
        <v>U</v>
      </c>
      <c r="AL48" s="270" t="str">
        <f>IF(AND(Master_Data[[#This Row],[Lectures]]="D",Master_Data[[#This Row],[Self Study]]="D"),Master_Data[[#This Row],[No. of Chapters]],"U")</f>
        <v>U</v>
      </c>
    </row>
    <row r="49" spans="2:38" ht="27" customHeight="1">
      <c r="B49" s="3">
        <v>41</v>
      </c>
      <c r="C49" s="183" t="str">
        <f ca="1">IF(Master_Data[[#This Row],[Column1]]="Done","",IF(Master_Data[[#This Row],[Column1]]=MIN(Master_Data[Column1]),"Current Week",CONCATENATE("Week ",Master_Data[[#This Row],[Column1]])))</f>
        <v>Week 9</v>
      </c>
      <c r="D49" s="3">
        <f ca="1">IF(Master_Data[[#This Row],[Cum. Undone hrs]]=0,"Done",ROUNDUP(Master_Data[[#This Row],[Cum. Undone hrs]]/Working!$C$8,0))</f>
        <v>9</v>
      </c>
      <c r="E49" s="3">
        <f ca="1">IF(OR(D49=D48,D49=D48+1),Master_Data[[#This Row],[Column1]],D49-1)</f>
        <v>9</v>
      </c>
      <c r="F49" s="150">
        <f>SUM($G$9:G49)</f>
        <v>8.3458333333333332</v>
      </c>
      <c r="G49" s="26">
        <f>IF(Master_Data[[#This Row],[Lectures]]="D","",Master_Data[[#This Row],[Duration (hh:mm)]])</f>
        <v>0.23750000000000002</v>
      </c>
      <c r="H49" s="2" t="s">
        <v>11</v>
      </c>
      <c r="I49" s="2" t="s">
        <v>240</v>
      </c>
      <c r="J49" s="2" t="s">
        <v>135</v>
      </c>
      <c r="K49" s="44" t="s">
        <v>258</v>
      </c>
      <c r="L49" s="273">
        <v>2</v>
      </c>
      <c r="M49" s="16">
        <v>6</v>
      </c>
      <c r="N49" s="43">
        <v>3</v>
      </c>
      <c r="O49" s="43">
        <v>1</v>
      </c>
      <c r="P49" s="43">
        <v>4</v>
      </c>
      <c r="Q49" s="43">
        <v>4</v>
      </c>
      <c r="R49" s="43">
        <v>5</v>
      </c>
      <c r="S49" s="43">
        <v>5</v>
      </c>
      <c r="T49" s="13">
        <v>0.23750000000000002</v>
      </c>
      <c r="U49" s="42">
        <f>(SUM($T$9:T49)/$T$4)*100</f>
        <v>62.353429490505377</v>
      </c>
      <c r="V49" s="27" t="s">
        <v>6</v>
      </c>
      <c r="W49" s="27" t="s">
        <v>6</v>
      </c>
      <c r="X49" s="27" t="s">
        <v>6</v>
      </c>
      <c r="Y49" s="27" t="s">
        <v>6</v>
      </c>
      <c r="Z49" s="27" t="s">
        <v>6</v>
      </c>
      <c r="AA49" s="27" t="s">
        <v>6</v>
      </c>
      <c r="AB49" s="27" t="s">
        <v>6</v>
      </c>
      <c r="AC49" s="27" t="s">
        <v>6</v>
      </c>
      <c r="AD49" s="27" t="s">
        <v>6</v>
      </c>
      <c r="AE49" s="159">
        <v>2</v>
      </c>
      <c r="AF49" s="17"/>
      <c r="AG49" s="174">
        <f t="shared" si="2"/>
        <v>1.6835016835016835E-2</v>
      </c>
      <c r="AH49" s="175">
        <f>Master_Data[[#This Row],[Imp. Level]]/SUMIF(Master_Data[Subject],Master_Data[[#This Row],[Subject]],Master_Data[Imp. Level])</f>
        <v>0.41666666666666669</v>
      </c>
      <c r="AI49" s="157">
        <f>Master_Data[[#This Row],[Subjectwise weights]]*Master_Data[[#This Row],[Confidence Level]]</f>
        <v>0.83333333333333337</v>
      </c>
      <c r="AJ49" s="158" t="str">
        <f>IF(AND(Master_Data[[#This Row],[Inst. EOC Ques.]]="D",Master_Data[[#This Row],[Class Test Book]]="D"),"D","U")</f>
        <v>U</v>
      </c>
      <c r="AK49" s="155" t="str">
        <f>IF(AND(Master_Data[[#This Row],[Inst. Online Portal]]="D",Master_Data[[#This Row],[Prac. Book]]="D",Master_Data[[#This Row],[Schweser Prac. Bk 1]]="D",Master_Data[[#This Row],[Schweser Prac. Bk 2]]="D"),"D","U")</f>
        <v>U</v>
      </c>
      <c r="AL49" s="270" t="str">
        <f>IF(AND(Master_Data[[#This Row],[Lectures]]="D",Master_Data[[#This Row],[Self Study]]="D"),Master_Data[[#This Row],[No. of Chapters]],"U")</f>
        <v>U</v>
      </c>
    </row>
    <row r="50" spans="2:38" ht="27" customHeight="1">
      <c r="B50" s="3">
        <v>42</v>
      </c>
      <c r="C50" s="183" t="str">
        <f ca="1">IF(Master_Data[[#This Row],[Column1]]="Done","",IF(Master_Data[[#This Row],[Column1]]=MIN(Master_Data[Column1]),"Current Week",CONCATENATE("Week ",Master_Data[[#This Row],[Column1]])))</f>
        <v>Week 9</v>
      </c>
      <c r="D50" s="3">
        <f ca="1">IF(Master_Data[[#This Row],[Cum. Undone hrs]]=0,"Done",ROUNDUP(Master_Data[[#This Row],[Cum. Undone hrs]]/Working!$C$8,0))</f>
        <v>9</v>
      </c>
      <c r="E50" s="3">
        <f ca="1">IF(OR(D50=D49,D50=D49+1),Master_Data[[#This Row],[Column1]],D50-1)</f>
        <v>9</v>
      </c>
      <c r="F50" s="150">
        <f>SUM($G$9:G50)</f>
        <v>8.3895833333333325</v>
      </c>
      <c r="G50" s="26">
        <f>IF(Master_Data[[#This Row],[Lectures]]="D","",Master_Data[[#This Row],[Duration (hh:mm)]])</f>
        <v>4.3750000000000004E-2</v>
      </c>
      <c r="H50" s="2" t="s">
        <v>11</v>
      </c>
      <c r="I50" s="2">
        <v>93</v>
      </c>
      <c r="J50" s="2" t="s">
        <v>135</v>
      </c>
      <c r="K50" s="44" t="s">
        <v>132</v>
      </c>
      <c r="L50" s="273">
        <v>1</v>
      </c>
      <c r="M50" s="16">
        <v>2</v>
      </c>
      <c r="N50" s="43">
        <v>1</v>
      </c>
      <c r="O50" s="43">
        <v>1</v>
      </c>
      <c r="P50" s="43">
        <v>2</v>
      </c>
      <c r="Q50" s="43">
        <v>4</v>
      </c>
      <c r="R50" s="43">
        <v>2</v>
      </c>
      <c r="S50" s="43">
        <v>2</v>
      </c>
      <c r="T50" s="13">
        <v>4.3750000000000004E-2</v>
      </c>
      <c r="U50" s="42">
        <f>(SUM($T$9:T50)/$T$4)*100</f>
        <v>62.680294697519997</v>
      </c>
      <c r="V50" s="27" t="s">
        <v>6</v>
      </c>
      <c r="W50" s="27" t="s">
        <v>6</v>
      </c>
      <c r="X50" s="27" t="s">
        <v>6</v>
      </c>
      <c r="Y50" s="27" t="s">
        <v>6</v>
      </c>
      <c r="Z50" s="27" t="s">
        <v>6</v>
      </c>
      <c r="AA50" s="27" t="s">
        <v>6</v>
      </c>
      <c r="AB50" s="27" t="s">
        <v>6</v>
      </c>
      <c r="AC50" s="27" t="s">
        <v>6</v>
      </c>
      <c r="AD50" s="27" t="s">
        <v>6</v>
      </c>
      <c r="AE50" s="159">
        <v>3</v>
      </c>
      <c r="AF50" s="17"/>
      <c r="AG50" s="174">
        <f t="shared" si="2"/>
        <v>6.7340067340067337E-3</v>
      </c>
      <c r="AH50" s="175">
        <f>Master_Data[[#This Row],[Imp. Level]]/SUMIF(Master_Data[Subject],Master_Data[[#This Row],[Subject]],Master_Data[Imp. Level])</f>
        <v>0.16666666666666666</v>
      </c>
      <c r="AI50" s="157">
        <f>Master_Data[[#This Row],[Subjectwise weights]]*Master_Data[[#This Row],[Confidence Level]]</f>
        <v>0.5</v>
      </c>
      <c r="AJ50" s="158" t="str">
        <f>IF(AND(Master_Data[[#This Row],[Inst. EOC Ques.]]="D",Master_Data[[#This Row],[Class Test Book]]="D"),"D","U")</f>
        <v>U</v>
      </c>
      <c r="AK50" s="155" t="str">
        <f>IF(AND(Master_Data[[#This Row],[Inst. Online Portal]]="D",Master_Data[[#This Row],[Prac. Book]]="D",Master_Data[[#This Row],[Schweser Prac. Bk 1]]="D",Master_Data[[#This Row],[Schweser Prac. Bk 2]]="D"),"D","U")</f>
        <v>U</v>
      </c>
      <c r="AL50" s="270" t="str">
        <f>IF(AND(Master_Data[[#This Row],[Lectures]]="D",Master_Data[[#This Row],[Self Study]]="D"),Master_Data[[#This Row],[No. of Chapters]],"U")</f>
        <v>U</v>
      </c>
    </row>
    <row r="51" spans="2:38" ht="27" customHeight="1">
      <c r="B51" s="3">
        <v>43</v>
      </c>
      <c r="C51" s="183" t="str">
        <f ca="1">IF(Master_Data[[#This Row],[Column1]]="Done","",IF(Master_Data[[#This Row],[Column1]]=MIN(Master_Data[Column1]),"Current Week",CONCATENATE("Week ",Master_Data[[#This Row],[Column1]])))</f>
        <v>Week 9</v>
      </c>
      <c r="D51" s="3">
        <f ca="1">IF(Master_Data[[#This Row],[Cum. Undone hrs]]=0,"Done",ROUNDUP(Master_Data[[#This Row],[Cum. Undone hrs]]/Working!$C$8,0))</f>
        <v>9</v>
      </c>
      <c r="E51" s="3">
        <f ca="1">IF(OR(D51=D50,D51=D50+1),Master_Data[[#This Row],[Column1]],D51-1)</f>
        <v>9</v>
      </c>
      <c r="F51" s="150">
        <f>SUM($G$9:G51)</f>
        <v>8.4270833333333321</v>
      </c>
      <c r="G51" s="26">
        <f>IF(Master_Data[[#This Row],[Lectures]]="D","",Master_Data[[#This Row],[Duration (hh:mm)]])</f>
        <v>3.7499999999999999E-2</v>
      </c>
      <c r="H51" s="2" t="s">
        <v>11</v>
      </c>
      <c r="I51" s="2">
        <v>92</v>
      </c>
      <c r="J51" s="2" t="s">
        <v>135</v>
      </c>
      <c r="K51" s="44" t="s">
        <v>259</v>
      </c>
      <c r="L51" s="273">
        <v>1</v>
      </c>
      <c r="M51" s="16">
        <v>5</v>
      </c>
      <c r="N51" s="43">
        <v>2</v>
      </c>
      <c r="O51" s="43">
        <v>1</v>
      </c>
      <c r="P51" s="43">
        <v>3</v>
      </c>
      <c r="Q51" s="43">
        <v>3</v>
      </c>
      <c r="R51" s="43">
        <v>4</v>
      </c>
      <c r="S51" s="43">
        <v>5</v>
      </c>
      <c r="T51" s="13">
        <v>3.7499999999999999E-2</v>
      </c>
      <c r="U51" s="42">
        <f>(SUM($T$9:T51)/$T$4)*100</f>
        <v>62.960464874961112</v>
      </c>
      <c r="V51" s="27" t="s">
        <v>6</v>
      </c>
      <c r="W51" s="27" t="s">
        <v>6</v>
      </c>
      <c r="X51" s="27" t="s">
        <v>6</v>
      </c>
      <c r="Y51" s="27" t="s">
        <v>6</v>
      </c>
      <c r="Z51" s="27" t="s">
        <v>6</v>
      </c>
      <c r="AA51" s="27" t="s">
        <v>6</v>
      </c>
      <c r="AB51" s="27" t="s">
        <v>6</v>
      </c>
      <c r="AC51" s="27" t="s">
        <v>6</v>
      </c>
      <c r="AD51" s="27" t="s">
        <v>6</v>
      </c>
      <c r="AE51" s="159">
        <v>3</v>
      </c>
      <c r="AF51" s="17"/>
      <c r="AG51" s="174">
        <f t="shared" si="2"/>
        <v>1.3468013468013467E-2</v>
      </c>
      <c r="AH51" s="175">
        <f>Master_Data[[#This Row],[Imp. Level]]/SUMIF(Master_Data[Subject],Master_Data[[#This Row],[Subject]],Master_Data[Imp. Level])</f>
        <v>0.33333333333333331</v>
      </c>
      <c r="AI51" s="157">
        <f>Master_Data[[#This Row],[Subjectwise weights]]*Master_Data[[#This Row],[Confidence Level]]</f>
        <v>1</v>
      </c>
      <c r="AJ51" s="158" t="str">
        <f>IF(AND(Master_Data[[#This Row],[Inst. EOC Ques.]]="D",Master_Data[[#This Row],[Class Test Book]]="D"),"D","U")</f>
        <v>U</v>
      </c>
      <c r="AK51" s="155" t="str">
        <f>IF(AND(Master_Data[[#This Row],[Inst. Online Portal]]="D",Master_Data[[#This Row],[Prac. Book]]="D",Master_Data[[#This Row],[Schweser Prac. Bk 1]]="D",Master_Data[[#This Row],[Schweser Prac. Bk 2]]="D"),"D","U")</f>
        <v>U</v>
      </c>
      <c r="AL51" s="270" t="str">
        <f>IF(AND(Master_Data[[#This Row],[Lectures]]="D",Master_Data[[#This Row],[Self Study]]="D"),Master_Data[[#This Row],[No. of Chapters]],"U")</f>
        <v>U</v>
      </c>
    </row>
    <row r="52" spans="2:38" ht="27" customHeight="1">
      <c r="B52" s="3">
        <v>44</v>
      </c>
      <c r="C52" s="183" t="str">
        <f ca="1">IF(Master_Data[[#This Row],[Column1]]="Done","",IF(Master_Data[[#This Row],[Column1]]=MIN(Master_Data[Column1]),"Current Week",CONCATENATE("Week ",Master_Data[[#This Row],[Column1]])))</f>
        <v>Week 9</v>
      </c>
      <c r="D52" s="3">
        <f ca="1">IF(Master_Data[[#This Row],[Cum. Undone hrs]]=0,"Done",ROUNDUP(Master_Data[[#This Row],[Cum. Undone hrs]]/Working!$C$8,0))</f>
        <v>9</v>
      </c>
      <c r="E52" s="3">
        <f ca="1">IF(OR(D52=D51,D52=D51+1),Master_Data[[#This Row],[Column1]],D52-1)</f>
        <v>9</v>
      </c>
      <c r="F52" s="150">
        <f>SUM($G$9:G52)</f>
        <v>8.4916666666666654</v>
      </c>
      <c r="G52" s="26">
        <f>IF(Master_Data[[#This Row],[Lectures]]="D","",Master_Data[[#This Row],[Duration (hh:mm)]])</f>
        <v>6.458333333333334E-2</v>
      </c>
      <c r="H52" s="2" t="s">
        <v>25</v>
      </c>
      <c r="I52" s="2">
        <v>47</v>
      </c>
      <c r="J52" s="2" t="s">
        <v>135</v>
      </c>
      <c r="K52" s="44" t="s">
        <v>214</v>
      </c>
      <c r="L52" s="273">
        <v>1</v>
      </c>
      <c r="M52" s="16">
        <v>2</v>
      </c>
      <c r="N52" s="43">
        <v>3</v>
      </c>
      <c r="O52" s="43">
        <v>1</v>
      </c>
      <c r="P52" s="43">
        <v>3</v>
      </c>
      <c r="Q52" s="43">
        <v>3</v>
      </c>
      <c r="R52" s="43">
        <v>3</v>
      </c>
      <c r="S52" s="43">
        <v>3</v>
      </c>
      <c r="T52" s="11">
        <v>6.458333333333334E-2</v>
      </c>
      <c r="U52" s="42">
        <f>(SUM($T$9:T52)/$T$4)*100</f>
        <v>63.44298018055413</v>
      </c>
      <c r="V52" s="27" t="s">
        <v>6</v>
      </c>
      <c r="W52" s="27" t="s">
        <v>6</v>
      </c>
      <c r="X52" s="27" t="s">
        <v>6</v>
      </c>
      <c r="Y52" s="27" t="s">
        <v>6</v>
      </c>
      <c r="Z52" s="27" t="s">
        <v>6</v>
      </c>
      <c r="AA52" s="27" t="s">
        <v>6</v>
      </c>
      <c r="AB52" s="27" t="s">
        <v>6</v>
      </c>
      <c r="AC52" s="27" t="s">
        <v>6</v>
      </c>
      <c r="AD52" s="27" t="s">
        <v>6</v>
      </c>
      <c r="AE52" s="159">
        <v>3</v>
      </c>
      <c r="AF52" s="17"/>
      <c r="AG52" s="174">
        <f t="shared" si="2"/>
        <v>1.0101010101010102E-2</v>
      </c>
      <c r="AH52" s="175">
        <f>Master_Data[[#This Row],[Imp. Level]]/SUMIF(Master_Data[Subject],Master_Data[[#This Row],[Subject]],Master_Data[Imp. Level])</f>
        <v>5.8823529411764705E-2</v>
      </c>
      <c r="AI52" s="157">
        <f>Master_Data[[#This Row],[Subjectwise weights]]*Master_Data[[#This Row],[Confidence Level]]</f>
        <v>0.1764705882352941</v>
      </c>
      <c r="AJ52" s="158" t="str">
        <f>IF(AND(Master_Data[[#This Row],[Inst. EOC Ques.]]="D",Master_Data[[#This Row],[Class Test Book]]="D"),"D","U")</f>
        <v>U</v>
      </c>
      <c r="AK52" s="155" t="str">
        <f>IF(AND(Master_Data[[#This Row],[Inst. Online Portal]]="D",Master_Data[[#This Row],[Prac. Book]]="D",Master_Data[[#This Row],[Schweser Prac. Bk 1]]="D",Master_Data[[#This Row],[Schweser Prac. Bk 2]]="D"),"D","U")</f>
        <v>U</v>
      </c>
      <c r="AL52" s="270" t="str">
        <f>IF(AND(Master_Data[[#This Row],[Lectures]]="D",Master_Data[[#This Row],[Self Study]]="D"),Master_Data[[#This Row],[No. of Chapters]],"U")</f>
        <v>U</v>
      </c>
    </row>
    <row r="53" spans="2:38" ht="27" customHeight="1">
      <c r="B53" s="3">
        <v>45</v>
      </c>
      <c r="C53" s="183" t="str">
        <f ca="1">IF(Master_Data[[#This Row],[Column1]]="Done","",IF(Master_Data[[#This Row],[Column1]]=MIN(Master_Data[Column1]),"Current Week",CONCATENATE("Week ",Master_Data[[#This Row],[Column1]])))</f>
        <v>Week 9</v>
      </c>
      <c r="D53" s="3">
        <f ca="1">IF(Master_Data[[#This Row],[Cum. Undone hrs]]=0,"Done",ROUNDUP(Master_Data[[#This Row],[Cum. Undone hrs]]/Working!$C$8,0))</f>
        <v>9</v>
      </c>
      <c r="E53" s="3">
        <f ca="1">IF(OR(D53=D52,D53=D52+1),Master_Data[[#This Row],[Column1]],D53-1)</f>
        <v>9</v>
      </c>
      <c r="F53" s="150">
        <f>SUM($G$9:G53)</f>
        <v>8.6958333333333329</v>
      </c>
      <c r="G53" s="26">
        <f>IF(Master_Data[[#This Row],[Lectures]]="D","",Master_Data[[#This Row],[Duration (hh:mm)]])</f>
        <v>0.20416666666666669</v>
      </c>
      <c r="H53" s="2" t="s">
        <v>25</v>
      </c>
      <c r="I53" s="2">
        <v>60</v>
      </c>
      <c r="J53" s="2" t="s">
        <v>135</v>
      </c>
      <c r="K53" s="44" t="s">
        <v>219</v>
      </c>
      <c r="L53" s="273">
        <v>1</v>
      </c>
      <c r="M53" s="16">
        <v>3</v>
      </c>
      <c r="N53" s="43">
        <v>4</v>
      </c>
      <c r="O53" s="43">
        <v>2</v>
      </c>
      <c r="P53" s="43">
        <v>3</v>
      </c>
      <c r="Q53" s="43">
        <v>3</v>
      </c>
      <c r="R53" s="43">
        <v>3</v>
      </c>
      <c r="S53" s="43">
        <v>3</v>
      </c>
      <c r="T53" s="11">
        <v>0.20416666666666669</v>
      </c>
      <c r="U53" s="42">
        <f>(SUM($T$9:T53)/$T$4)*100</f>
        <v>64.96835114662241</v>
      </c>
      <c r="V53" s="27" t="s">
        <v>6</v>
      </c>
      <c r="W53" s="27" t="s">
        <v>6</v>
      </c>
      <c r="X53" s="27" t="s">
        <v>6</v>
      </c>
      <c r="Y53" s="27" t="s">
        <v>6</v>
      </c>
      <c r="Z53" s="27" t="s">
        <v>6</v>
      </c>
      <c r="AA53" s="27" t="s">
        <v>6</v>
      </c>
      <c r="AB53" s="27" t="s">
        <v>6</v>
      </c>
      <c r="AC53" s="27" t="s">
        <v>6</v>
      </c>
      <c r="AD53" s="27" t="s">
        <v>6</v>
      </c>
      <c r="AE53" s="159">
        <v>2</v>
      </c>
      <c r="AF53" s="17"/>
      <c r="AG53" s="174">
        <f t="shared" si="2"/>
        <v>1.0101010101010102E-2</v>
      </c>
      <c r="AH53" s="175">
        <f>Master_Data[[#This Row],[Imp. Level]]/SUMIF(Master_Data[Subject],Master_Data[[#This Row],[Subject]],Master_Data[Imp. Level])</f>
        <v>5.8823529411764705E-2</v>
      </c>
      <c r="AI53" s="157">
        <f>Master_Data[[#This Row],[Subjectwise weights]]*Master_Data[[#This Row],[Confidence Level]]</f>
        <v>0.11764705882352941</v>
      </c>
      <c r="AJ53" s="158" t="str">
        <f>IF(AND(Master_Data[[#This Row],[Inst. EOC Ques.]]="D",Master_Data[[#This Row],[Class Test Book]]="D"),"D","U")</f>
        <v>U</v>
      </c>
      <c r="AK53" s="155" t="str">
        <f>IF(AND(Master_Data[[#This Row],[Inst. Online Portal]]="D",Master_Data[[#This Row],[Prac. Book]]="D",Master_Data[[#This Row],[Schweser Prac. Bk 1]]="D",Master_Data[[#This Row],[Schweser Prac. Bk 2]]="D"),"D","U")</f>
        <v>U</v>
      </c>
      <c r="AL53" s="270" t="str">
        <f>IF(AND(Master_Data[[#This Row],[Lectures]]="D",Master_Data[[#This Row],[Self Study]]="D"),Master_Data[[#This Row],[No. of Chapters]],"U")</f>
        <v>U</v>
      </c>
    </row>
    <row r="54" spans="2:38" ht="27" customHeight="1">
      <c r="B54" s="3">
        <v>46</v>
      </c>
      <c r="C54" s="183" t="str">
        <f ca="1">IF(Master_Data[[#This Row],[Column1]]="Done","",IF(Master_Data[[#This Row],[Column1]]=MIN(Master_Data[Column1]),"Current Week",CONCATENATE("Week ",Master_Data[[#This Row],[Column1]])))</f>
        <v>Week 9</v>
      </c>
      <c r="D54" s="3">
        <f ca="1">IF(Master_Data[[#This Row],[Cum. Undone hrs]]=0,"Done",ROUNDUP(Master_Data[[#This Row],[Cum. Undone hrs]]/Working!$C$8,0))</f>
        <v>9</v>
      </c>
      <c r="E54" s="3">
        <f ca="1">IF(OR(D54=D53,D54=D53+1),Master_Data[[#This Row],[Column1]],D54-1)</f>
        <v>9</v>
      </c>
      <c r="F54" s="15">
        <f>SUM($G$9:G54)</f>
        <v>8.7388888888888889</v>
      </c>
      <c r="G54" s="26">
        <f>IF(Master_Data[[#This Row],[Lectures]]="D","",Master_Data[[#This Row],[Duration (hh:mm)]])</f>
        <v>4.3055555555555562E-2</v>
      </c>
      <c r="H54" s="2" t="s">
        <v>25</v>
      </c>
      <c r="I54" s="2">
        <v>61</v>
      </c>
      <c r="J54" s="2" t="s">
        <v>135</v>
      </c>
      <c r="K54" s="44" t="s">
        <v>220</v>
      </c>
      <c r="L54" s="273">
        <v>1</v>
      </c>
      <c r="M54" s="16">
        <v>1</v>
      </c>
      <c r="N54" s="43">
        <v>4</v>
      </c>
      <c r="O54" s="43">
        <v>2</v>
      </c>
      <c r="P54" s="43">
        <v>3</v>
      </c>
      <c r="Q54" s="43">
        <v>3</v>
      </c>
      <c r="R54" s="43">
        <v>3</v>
      </c>
      <c r="S54" s="43">
        <v>3</v>
      </c>
      <c r="T54" s="11">
        <v>4.3055555555555562E-2</v>
      </c>
      <c r="U54" s="42">
        <f>(SUM($T$9:T54)/$T$4)*100</f>
        <v>65.290028017017775</v>
      </c>
      <c r="V54" s="27" t="s">
        <v>6</v>
      </c>
      <c r="W54" s="27" t="s">
        <v>6</v>
      </c>
      <c r="X54" s="27" t="s">
        <v>6</v>
      </c>
      <c r="Y54" s="27" t="s">
        <v>6</v>
      </c>
      <c r="Z54" s="27" t="s">
        <v>6</v>
      </c>
      <c r="AA54" s="27" t="s">
        <v>6</v>
      </c>
      <c r="AB54" s="27" t="s">
        <v>6</v>
      </c>
      <c r="AC54" s="27" t="s">
        <v>6</v>
      </c>
      <c r="AD54" s="27" t="s">
        <v>6</v>
      </c>
      <c r="AE54" s="159">
        <v>2</v>
      </c>
      <c r="AF54" s="17"/>
      <c r="AG54" s="174">
        <f>R54/SUM($R$9:$R$73)</f>
        <v>1.2E-2</v>
      </c>
      <c r="AH54" s="175">
        <f>Master_Data[[#This Row],[Imp. Level]]/SUMIF(Master_Data[Subject],Master_Data[[#This Row],[Subject]],Master_Data[Imp. Level])</f>
        <v>5.8823529411764705E-2</v>
      </c>
      <c r="AI54" s="157">
        <f>Master_Data[[#This Row],[Subjectwise weights]]*Master_Data[[#This Row],[Confidence Level]]</f>
        <v>0.11764705882352941</v>
      </c>
      <c r="AJ54" s="158" t="str">
        <f>IF(AND(Master_Data[[#This Row],[Inst. EOC Ques.]]="D",Master_Data[[#This Row],[Class Test Book]]="D"),"D","U")</f>
        <v>U</v>
      </c>
      <c r="AK54" s="155" t="str">
        <f>IF(AND(Master_Data[[#This Row],[Inst. Online Portal]]="D",Master_Data[[#This Row],[Prac. Book]]="D",Master_Data[[#This Row],[Schweser Prac. Bk 1]]="D",Master_Data[[#This Row],[Schweser Prac. Bk 2]]="D"),"D","U")</f>
        <v>U</v>
      </c>
      <c r="AL54" s="270" t="str">
        <f>IF(AND(Master_Data[[#This Row],[Lectures]]="D",Master_Data[[#This Row],[Self Study]]="D"),Master_Data[[#This Row],[No. of Chapters]],"U")</f>
        <v>U</v>
      </c>
    </row>
    <row r="55" spans="2:38" ht="27" customHeight="1">
      <c r="B55" s="3">
        <v>47</v>
      </c>
      <c r="C55" s="183" t="str">
        <f ca="1">IF(Master_Data[[#This Row],[Column1]]="Done","",IF(Master_Data[[#This Row],[Column1]]=MIN(Master_Data[Column1]),"Current Week",CONCATENATE("Week ",Master_Data[[#This Row],[Column1]])))</f>
        <v>Week 9</v>
      </c>
      <c r="D55" s="3">
        <f ca="1">IF(Master_Data[[#This Row],[Cum. Undone hrs]]=0,"Done",ROUNDUP(Master_Data[[#This Row],[Cum. Undone hrs]]/Working!$C$8,0))</f>
        <v>9</v>
      </c>
      <c r="E55" s="3">
        <f ca="1">IF(OR(D55=D54,D55=D54+1),Master_Data[[#This Row],[Column1]],D55-1)</f>
        <v>9</v>
      </c>
      <c r="F55" s="15">
        <f>SUM($G$9:G55)</f>
        <v>8.8243055555555561</v>
      </c>
      <c r="G55" s="26">
        <f>IF(Master_Data[[#This Row],[Lectures]]="D","",Master_Data[[#This Row],[Duration (hh:mm)]])</f>
        <v>8.5416666666666655E-2</v>
      </c>
      <c r="H55" s="2" t="s">
        <v>25</v>
      </c>
      <c r="I55" s="2">
        <v>62</v>
      </c>
      <c r="J55" s="2" t="s">
        <v>135</v>
      </c>
      <c r="K55" s="44" t="s">
        <v>221</v>
      </c>
      <c r="L55" s="273">
        <v>1</v>
      </c>
      <c r="M55" s="16">
        <v>3</v>
      </c>
      <c r="N55" s="43">
        <v>4</v>
      </c>
      <c r="O55" s="43">
        <v>2</v>
      </c>
      <c r="P55" s="43">
        <v>3</v>
      </c>
      <c r="Q55" s="43">
        <v>3</v>
      </c>
      <c r="R55" s="43">
        <v>3</v>
      </c>
      <c r="S55" s="43">
        <v>3</v>
      </c>
      <c r="T55" s="11">
        <v>8.5416666666666655E-2</v>
      </c>
      <c r="U55" s="42">
        <f>(SUM($T$9:T55)/$T$4)*100</f>
        <v>65.928193421189206</v>
      </c>
      <c r="V55" s="27" t="s">
        <v>6</v>
      </c>
      <c r="W55" s="27" t="s">
        <v>6</v>
      </c>
      <c r="X55" s="27" t="s">
        <v>6</v>
      </c>
      <c r="Y55" s="27" t="s">
        <v>6</v>
      </c>
      <c r="Z55" s="27" t="s">
        <v>6</v>
      </c>
      <c r="AA55" s="27" t="s">
        <v>6</v>
      </c>
      <c r="AB55" s="27" t="s">
        <v>6</v>
      </c>
      <c r="AC55" s="27" t="s">
        <v>6</v>
      </c>
      <c r="AD55" s="27" t="s">
        <v>6</v>
      </c>
      <c r="AE55" s="159">
        <v>3</v>
      </c>
      <c r="AF55" s="17"/>
      <c r="AG55" s="174">
        <f>R55/SUM($R$9:$R$73)</f>
        <v>1.2E-2</v>
      </c>
      <c r="AH55" s="175">
        <f>Master_Data[[#This Row],[Imp. Level]]/SUMIF(Master_Data[Subject],Master_Data[[#This Row],[Subject]],Master_Data[Imp. Level])</f>
        <v>5.8823529411764705E-2</v>
      </c>
      <c r="AI55" s="157">
        <f>Master_Data[[#This Row],[Subjectwise weights]]*Master_Data[[#This Row],[Confidence Level]]</f>
        <v>0.1764705882352941</v>
      </c>
      <c r="AJ55" s="158" t="str">
        <f>IF(AND(Master_Data[[#This Row],[Inst. EOC Ques.]]="D",Master_Data[[#This Row],[Class Test Book]]="D"),"D","U")</f>
        <v>U</v>
      </c>
      <c r="AK55" s="155" t="str">
        <f>IF(AND(Master_Data[[#This Row],[Inst. Online Portal]]="D",Master_Data[[#This Row],[Prac. Book]]="D",Master_Data[[#This Row],[Schweser Prac. Bk 1]]="D",Master_Data[[#This Row],[Schweser Prac. Bk 2]]="D"),"D","U")</f>
        <v>U</v>
      </c>
      <c r="AL55" s="270" t="str">
        <f>IF(AND(Master_Data[[#This Row],[Lectures]]="D",Master_Data[[#This Row],[Self Study]]="D"),Master_Data[[#This Row],[No. of Chapters]],"U")</f>
        <v>U</v>
      </c>
    </row>
    <row r="56" spans="2:38" ht="27" customHeight="1">
      <c r="B56" s="3">
        <v>48</v>
      </c>
      <c r="C56" s="183" t="str">
        <f ca="1">IF(Master_Data[[#This Row],[Column1]]="Done","",IF(Master_Data[[#This Row],[Column1]]=MIN(Master_Data[Column1]),"Current Week",CONCATENATE("Week ",Master_Data[[#This Row],[Column1]])))</f>
        <v>Week 10</v>
      </c>
      <c r="D56" s="3">
        <f ca="1">IF(Master_Data[[#This Row],[Cum. Undone hrs]]=0,"Done",ROUNDUP(Master_Data[[#This Row],[Cum. Undone hrs]]/Working!$C$8,0))</f>
        <v>10</v>
      </c>
      <c r="E56" s="3">
        <f ca="1">IF(OR(D56=D55,D56=D55+1),Master_Data[[#This Row],[Column1]],D56-1)</f>
        <v>10</v>
      </c>
      <c r="F56" s="150">
        <f>SUM($G$9:G62)</f>
        <v>9.6152777777777754</v>
      </c>
      <c r="G56" s="26">
        <f>IF(Master_Data[[#This Row],[Lectures]]="D","",Master_Data[[#This Row],[Duration (hh:mm)]])</f>
        <v>9.5138888888888884E-2</v>
      </c>
      <c r="H56" s="2" t="s">
        <v>25</v>
      </c>
      <c r="I56" s="2">
        <v>64</v>
      </c>
      <c r="J56" s="2" t="s">
        <v>135</v>
      </c>
      <c r="K56" s="44" t="s">
        <v>275</v>
      </c>
      <c r="L56" s="273">
        <v>1</v>
      </c>
      <c r="M56" s="16">
        <v>4</v>
      </c>
      <c r="N56" s="43">
        <v>5</v>
      </c>
      <c r="O56" s="43">
        <v>2</v>
      </c>
      <c r="P56" s="43">
        <v>5</v>
      </c>
      <c r="Q56" s="43">
        <v>5</v>
      </c>
      <c r="R56" s="43">
        <v>4</v>
      </c>
      <c r="S56" s="43">
        <v>5</v>
      </c>
      <c r="T56" s="11">
        <v>9.5138888888888884E-2</v>
      </c>
      <c r="U56" s="42">
        <f>(SUM($T$9:T56)/$T$4)*100</f>
        <v>66.638995538030542</v>
      </c>
      <c r="V56" s="27" t="s">
        <v>6</v>
      </c>
      <c r="W56" s="27" t="s">
        <v>6</v>
      </c>
      <c r="X56" s="27" t="s">
        <v>6</v>
      </c>
      <c r="Y56" s="27" t="s">
        <v>6</v>
      </c>
      <c r="Z56" s="27" t="s">
        <v>6</v>
      </c>
      <c r="AA56" s="27" t="s">
        <v>6</v>
      </c>
      <c r="AB56" s="27" t="s">
        <v>6</v>
      </c>
      <c r="AC56" s="27" t="s">
        <v>6</v>
      </c>
      <c r="AD56" s="27" t="s">
        <v>6</v>
      </c>
      <c r="AE56" s="159">
        <v>3</v>
      </c>
      <c r="AF56" s="17"/>
      <c r="AG56" s="174">
        <f>R56/SUM($R$9:$R$85)</f>
        <v>1.3468013468013467E-2</v>
      </c>
      <c r="AH56" s="175">
        <f>Master_Data[[#This Row],[Imp. Level]]/SUMIF(Master_Data[Subject],Master_Data[[#This Row],[Subject]],Master_Data[Imp. Level])</f>
        <v>7.8431372549019607E-2</v>
      </c>
      <c r="AI56" s="157">
        <f>Master_Data[[#This Row],[Subjectwise weights]]*Master_Data[[#This Row],[Confidence Level]]</f>
        <v>0.23529411764705882</v>
      </c>
      <c r="AJ56" s="158" t="str">
        <f>IF(AND(Master_Data[[#This Row],[Inst. EOC Ques.]]="D",Master_Data[[#This Row],[Class Test Book]]="D"),"D","U")</f>
        <v>U</v>
      </c>
      <c r="AK56" s="155" t="str">
        <f>IF(AND(Master_Data[[#This Row],[Inst. Online Portal]]="D",Master_Data[[#This Row],[Prac. Book]]="D",Master_Data[[#This Row],[Schweser Prac. Bk 1]]="D",Master_Data[[#This Row],[Schweser Prac. Bk 2]]="D"),"D","U")</f>
        <v>U</v>
      </c>
      <c r="AL56" s="270" t="str">
        <f>IF(AND(Master_Data[[#This Row],[Lectures]]="D",Master_Data[[#This Row],[Self Study]]="D"),Master_Data[[#This Row],[No. of Chapters]],"U")</f>
        <v>U</v>
      </c>
    </row>
    <row r="57" spans="2:38" ht="27" customHeight="1">
      <c r="B57" s="3">
        <v>49</v>
      </c>
      <c r="C57" s="183" t="str">
        <f ca="1">IF(Master_Data[[#This Row],[Column1]]="Done","",IF(Master_Data[[#This Row],[Column1]]=MIN(Master_Data[Column1]),"Current Week",CONCATENATE("Week ",Master_Data[[#This Row],[Column1]])))</f>
        <v>Week 9</v>
      </c>
      <c r="D57" s="3">
        <f ca="1">IF(Master_Data[[#This Row],[Cum. Undone hrs]]=0,"Done",ROUNDUP(Master_Data[[#This Row],[Cum. Undone hrs]]/Working!$C$8,0))</f>
        <v>9</v>
      </c>
      <c r="E57" s="3">
        <f ca="1">IF(OR(D57=D56,D57=D56+1),Master_Data[[#This Row],[Column1]],D57-1)</f>
        <v>8</v>
      </c>
      <c r="F57" s="15">
        <f>SUM($G$9:G57)</f>
        <v>9.0784722222222225</v>
      </c>
      <c r="G57" s="26">
        <f>IF(Master_Data[[#This Row],[Lectures]]="D","",Master_Data[[#This Row],[Duration (hh:mm)]])</f>
        <v>0.15902777777777777</v>
      </c>
      <c r="H57" s="2" t="s">
        <v>25</v>
      </c>
      <c r="I57" s="2">
        <v>48</v>
      </c>
      <c r="J57" s="2" t="s">
        <v>135</v>
      </c>
      <c r="K57" s="44" t="s">
        <v>215</v>
      </c>
      <c r="L57" s="273">
        <v>1</v>
      </c>
      <c r="M57" s="16">
        <v>2</v>
      </c>
      <c r="N57" s="43">
        <v>3</v>
      </c>
      <c r="O57" s="43">
        <v>1</v>
      </c>
      <c r="P57" s="43">
        <v>3</v>
      </c>
      <c r="Q57" s="43">
        <v>3</v>
      </c>
      <c r="R57" s="43">
        <v>3</v>
      </c>
      <c r="S57" s="43">
        <v>3</v>
      </c>
      <c r="T57" s="12">
        <v>0.15902777777777777</v>
      </c>
      <c r="U57" s="42">
        <f>(SUM($T$9:T57)/$T$4)*100</f>
        <v>67.82712462384562</v>
      </c>
      <c r="V57" s="27" t="s">
        <v>6</v>
      </c>
      <c r="W57" s="27" t="s">
        <v>6</v>
      </c>
      <c r="X57" s="27" t="s">
        <v>6</v>
      </c>
      <c r="Y57" s="27" t="s">
        <v>6</v>
      </c>
      <c r="Z57" s="27" t="s">
        <v>6</v>
      </c>
      <c r="AA57" s="27" t="s">
        <v>6</v>
      </c>
      <c r="AB57" s="27" t="s">
        <v>6</v>
      </c>
      <c r="AC57" s="27" t="s">
        <v>6</v>
      </c>
      <c r="AD57" s="27" t="s">
        <v>6</v>
      </c>
      <c r="AE57" s="159">
        <v>3</v>
      </c>
      <c r="AF57" s="17"/>
      <c r="AG57" s="174">
        <f>R57/SUM($R$9:$R$73)</f>
        <v>1.2E-2</v>
      </c>
      <c r="AH57" s="175">
        <f>Master_Data[[#This Row],[Imp. Level]]/SUMIF(Master_Data[Subject],Master_Data[[#This Row],[Subject]],Master_Data[Imp. Level])</f>
        <v>5.8823529411764705E-2</v>
      </c>
      <c r="AI57" s="157">
        <f>Master_Data[[#This Row],[Subjectwise weights]]*Master_Data[[#This Row],[Confidence Level]]</f>
        <v>0.1764705882352941</v>
      </c>
      <c r="AJ57" s="158" t="str">
        <f>IF(AND(Master_Data[[#This Row],[Inst. EOC Ques.]]="D",Master_Data[[#This Row],[Class Test Book]]="D"),"D","U")</f>
        <v>U</v>
      </c>
      <c r="AK57" s="155" t="str">
        <f>IF(AND(Master_Data[[#This Row],[Inst. Online Portal]]="D",Master_Data[[#This Row],[Prac. Book]]="D",Master_Data[[#This Row],[Schweser Prac. Bk 1]]="D",Master_Data[[#This Row],[Schweser Prac. Bk 2]]="D"),"D","U")</f>
        <v>U</v>
      </c>
      <c r="AL57" s="270" t="str">
        <f>IF(AND(Master_Data[[#This Row],[Lectures]]="D",Master_Data[[#This Row],[Self Study]]="D"),Master_Data[[#This Row],[No. of Chapters]],"U")</f>
        <v>U</v>
      </c>
    </row>
    <row r="58" spans="2:38" ht="27" customHeight="1">
      <c r="B58" s="3">
        <v>50</v>
      </c>
      <c r="C58" s="183" t="str">
        <f ca="1">IF(Master_Data[[#This Row],[Column1]]="Done","",IF(Master_Data[[#This Row],[Column1]]=MIN(Master_Data[Column1]),"Current Week",CONCATENATE("Week ",Master_Data[[#This Row],[Column1]])))</f>
        <v>Week 9</v>
      </c>
      <c r="D58" s="3">
        <f ca="1">IF(Master_Data[[#This Row],[Cum. Undone hrs]]=0,"Done",ROUNDUP(Master_Data[[#This Row],[Cum. Undone hrs]]/Working!$C$8,0))</f>
        <v>9</v>
      </c>
      <c r="E58" s="3">
        <f ca="1">IF(OR(D58=D57,D58=D57+1),Master_Data[[#This Row],[Column1]],D58-1)</f>
        <v>9</v>
      </c>
      <c r="F58" s="15">
        <f>SUM($G$9:G58)</f>
        <v>9.1534722222222218</v>
      </c>
      <c r="G58" s="26">
        <f>IF(Master_Data[[#This Row],[Lectures]]="D","",Master_Data[[#This Row],[Duration (hh:mm)]])</f>
        <v>7.4999999999999997E-2</v>
      </c>
      <c r="H58" s="2" t="s">
        <v>25</v>
      </c>
      <c r="I58" s="2">
        <v>49</v>
      </c>
      <c r="J58" s="2" t="s">
        <v>135</v>
      </c>
      <c r="K58" s="44" t="s">
        <v>216</v>
      </c>
      <c r="L58" s="273">
        <v>1</v>
      </c>
      <c r="M58" s="16">
        <v>3</v>
      </c>
      <c r="N58" s="43">
        <v>2</v>
      </c>
      <c r="O58" s="43">
        <v>1</v>
      </c>
      <c r="P58" s="43">
        <v>3</v>
      </c>
      <c r="Q58" s="43">
        <v>3</v>
      </c>
      <c r="R58" s="43">
        <v>3</v>
      </c>
      <c r="S58" s="43">
        <v>3</v>
      </c>
      <c r="T58" s="12">
        <v>7.4999999999999997E-2</v>
      </c>
      <c r="U58" s="42">
        <f>(SUM($T$9:T58)/$T$4)*100</f>
        <v>68.387464978727849</v>
      </c>
      <c r="V58" s="27" t="s">
        <v>6</v>
      </c>
      <c r="W58" s="27" t="s">
        <v>6</v>
      </c>
      <c r="X58" s="27" t="s">
        <v>6</v>
      </c>
      <c r="Y58" s="27" t="s">
        <v>6</v>
      </c>
      <c r="Z58" s="27" t="s">
        <v>6</v>
      </c>
      <c r="AA58" s="27" t="s">
        <v>6</v>
      </c>
      <c r="AB58" s="27" t="s">
        <v>6</v>
      </c>
      <c r="AC58" s="27" t="s">
        <v>6</v>
      </c>
      <c r="AD58" s="27" t="s">
        <v>6</v>
      </c>
      <c r="AE58" s="159">
        <v>3</v>
      </c>
      <c r="AF58" s="17"/>
      <c r="AG58" s="174">
        <f>R58/SUM($R$9:$R$73)</f>
        <v>1.2E-2</v>
      </c>
      <c r="AH58" s="175">
        <f>Master_Data[[#This Row],[Imp. Level]]/SUMIF(Master_Data[Subject],Master_Data[[#This Row],[Subject]],Master_Data[Imp. Level])</f>
        <v>5.8823529411764705E-2</v>
      </c>
      <c r="AI58" s="157">
        <f>Master_Data[[#This Row],[Subjectwise weights]]*Master_Data[[#This Row],[Confidence Level]]</f>
        <v>0.1764705882352941</v>
      </c>
      <c r="AJ58" s="158" t="str">
        <f>IF(AND(Master_Data[[#This Row],[Inst. EOC Ques.]]="D",Master_Data[[#This Row],[Class Test Book]]="D"),"D","U")</f>
        <v>U</v>
      </c>
      <c r="AK58" s="155" t="str">
        <f>IF(AND(Master_Data[[#This Row],[Inst. Online Portal]]="D",Master_Data[[#This Row],[Prac. Book]]="D",Master_Data[[#This Row],[Schweser Prac. Bk 1]]="D",Master_Data[[#This Row],[Schweser Prac. Bk 2]]="D"),"D","U")</f>
        <v>U</v>
      </c>
      <c r="AL58" s="270" t="str">
        <f>IF(AND(Master_Data[[#This Row],[Lectures]]="D",Master_Data[[#This Row],[Self Study]]="D"),Master_Data[[#This Row],[No. of Chapters]],"U")</f>
        <v>U</v>
      </c>
    </row>
    <row r="59" spans="2:38" ht="27" customHeight="1">
      <c r="B59" s="3">
        <v>51</v>
      </c>
      <c r="C59" s="183" t="str">
        <f ca="1">IF(Master_Data[[#This Row],[Column1]]="Done","",IF(Master_Data[[#This Row],[Column1]]=MIN(Master_Data[Column1]),"Current Week",CONCATENATE("Week ",Master_Data[[#This Row],[Column1]])))</f>
        <v>Week 10</v>
      </c>
      <c r="D59" s="3">
        <f ca="1">IF(Master_Data[[#This Row],[Cum. Undone hrs]]=0,"Done",ROUNDUP(Master_Data[[#This Row],[Cum. Undone hrs]]/Working!$C$8,0))</f>
        <v>10</v>
      </c>
      <c r="E59" s="3">
        <f ca="1">IF(OR(D59=D58,D59=D58+1),Master_Data[[#This Row],[Column1]],D59-1)</f>
        <v>10</v>
      </c>
      <c r="F59" s="15">
        <f>SUM($G$9:G59)</f>
        <v>9.2708333333333321</v>
      </c>
      <c r="G59" s="26">
        <f>IF(Master_Data[[#This Row],[Lectures]]="D","",Master_Data[[#This Row],[Duration (hh:mm)]])</f>
        <v>0.1173611111111111</v>
      </c>
      <c r="H59" s="2" t="s">
        <v>25</v>
      </c>
      <c r="I59" s="2">
        <v>50</v>
      </c>
      <c r="J59" s="2" t="s">
        <v>135</v>
      </c>
      <c r="K59" s="44" t="s">
        <v>217</v>
      </c>
      <c r="L59" s="273">
        <v>1</v>
      </c>
      <c r="M59" s="16">
        <v>3</v>
      </c>
      <c r="N59" s="43">
        <v>2</v>
      </c>
      <c r="O59" s="43">
        <v>1</v>
      </c>
      <c r="P59" s="43">
        <v>3</v>
      </c>
      <c r="Q59" s="43">
        <v>3</v>
      </c>
      <c r="R59" s="43">
        <v>3</v>
      </c>
      <c r="S59" s="43">
        <v>3</v>
      </c>
      <c r="T59" s="12">
        <v>0.1173611111111111</v>
      </c>
      <c r="U59" s="42">
        <f>(SUM($T$9:T59)/$T$4)*100</f>
        <v>69.264293867386144</v>
      </c>
      <c r="V59" s="27" t="s">
        <v>6</v>
      </c>
      <c r="W59" s="27" t="s">
        <v>6</v>
      </c>
      <c r="X59" s="27" t="s">
        <v>6</v>
      </c>
      <c r="Y59" s="27" t="s">
        <v>6</v>
      </c>
      <c r="Z59" s="27" t="s">
        <v>6</v>
      </c>
      <c r="AA59" s="27" t="s">
        <v>6</v>
      </c>
      <c r="AB59" s="27" t="s">
        <v>6</v>
      </c>
      <c r="AC59" s="27" t="s">
        <v>6</v>
      </c>
      <c r="AD59" s="27" t="s">
        <v>6</v>
      </c>
      <c r="AE59" s="159">
        <v>3</v>
      </c>
      <c r="AF59" s="17"/>
      <c r="AG59" s="174">
        <f>R59/SUM($R$9:$R$73)</f>
        <v>1.2E-2</v>
      </c>
      <c r="AH59" s="175">
        <f>Master_Data[[#This Row],[Imp. Level]]/SUMIF(Master_Data[Subject],Master_Data[[#This Row],[Subject]],Master_Data[Imp. Level])</f>
        <v>5.8823529411764705E-2</v>
      </c>
      <c r="AI59" s="157">
        <f>Master_Data[[#This Row],[Subjectwise weights]]*Master_Data[[#This Row],[Confidence Level]]</f>
        <v>0.1764705882352941</v>
      </c>
      <c r="AJ59" s="158" t="str">
        <f>IF(AND(Master_Data[[#This Row],[Inst. EOC Ques.]]="D",Master_Data[[#This Row],[Class Test Book]]="D"),"D","U")</f>
        <v>U</v>
      </c>
      <c r="AK59" s="155" t="str">
        <f>IF(AND(Master_Data[[#This Row],[Inst. Online Portal]]="D",Master_Data[[#This Row],[Prac. Book]]="D",Master_Data[[#This Row],[Schweser Prac. Bk 1]]="D",Master_Data[[#This Row],[Schweser Prac. Bk 2]]="D"),"D","U")</f>
        <v>U</v>
      </c>
      <c r="AL59" s="270" t="str">
        <f>IF(AND(Master_Data[[#This Row],[Lectures]]="D",Master_Data[[#This Row],[Self Study]]="D"),Master_Data[[#This Row],[No. of Chapters]],"U")</f>
        <v>U</v>
      </c>
    </row>
    <row r="60" spans="2:38" ht="27" customHeight="1">
      <c r="B60" s="3">
        <v>52</v>
      </c>
      <c r="C60" s="183" t="str">
        <f ca="1">IF(Master_Data[[#This Row],[Column1]]="Done","",IF(Master_Data[[#This Row],[Column1]]=MIN(Master_Data[Column1]),"Current Week",CONCATENATE("Week ",Master_Data[[#This Row],[Column1]])))</f>
        <v>Week 10</v>
      </c>
      <c r="D60" s="3">
        <f ca="1">IF(Master_Data[[#This Row],[Cum. Undone hrs]]=0,"Done",ROUNDUP(Master_Data[[#This Row],[Cum. Undone hrs]]/Working!$C$8,0))</f>
        <v>10</v>
      </c>
      <c r="E60" s="3">
        <f ca="1">IF(OR(D60=D59,D60=D59+1),Master_Data[[#This Row],[Column1]],D60-1)</f>
        <v>10</v>
      </c>
      <c r="F60" s="150">
        <f>SUM($G$9:G60)</f>
        <v>9.3770833333333314</v>
      </c>
      <c r="G60" s="26">
        <f>IF(Master_Data[[#This Row],[Lectures]]="D","",Master_Data[[#This Row],[Duration (hh:mm)]])</f>
        <v>0.10625</v>
      </c>
      <c r="H60" s="2" t="s">
        <v>25</v>
      </c>
      <c r="I60" s="2">
        <v>51</v>
      </c>
      <c r="J60" s="2" t="s">
        <v>135</v>
      </c>
      <c r="K60" s="44" t="s">
        <v>218</v>
      </c>
      <c r="L60" s="273">
        <v>1</v>
      </c>
      <c r="M60" s="16">
        <v>2</v>
      </c>
      <c r="N60" s="43">
        <v>2</v>
      </c>
      <c r="O60" s="43">
        <v>1</v>
      </c>
      <c r="P60" s="43">
        <v>3</v>
      </c>
      <c r="Q60" s="43">
        <v>3</v>
      </c>
      <c r="R60" s="43">
        <v>3</v>
      </c>
      <c r="S60" s="43">
        <v>3</v>
      </c>
      <c r="T60" s="11">
        <v>0.10625</v>
      </c>
      <c r="U60" s="42">
        <f>(SUM($T$9:T60)/$T$4)*100</f>
        <v>70.058109370135952</v>
      </c>
      <c r="V60" s="27" t="s">
        <v>6</v>
      </c>
      <c r="W60" s="27" t="s">
        <v>6</v>
      </c>
      <c r="X60" s="27" t="s">
        <v>6</v>
      </c>
      <c r="Y60" s="27" t="s">
        <v>6</v>
      </c>
      <c r="Z60" s="27" t="s">
        <v>6</v>
      </c>
      <c r="AA60" s="27" t="s">
        <v>6</v>
      </c>
      <c r="AB60" s="27" t="s">
        <v>6</v>
      </c>
      <c r="AC60" s="27" t="s">
        <v>6</v>
      </c>
      <c r="AD60" s="27" t="s">
        <v>6</v>
      </c>
      <c r="AE60" s="159">
        <v>2</v>
      </c>
      <c r="AF60" s="17"/>
      <c r="AG60" s="174">
        <f>R60/SUM($R$9:$R$85)</f>
        <v>1.0101010101010102E-2</v>
      </c>
      <c r="AH60" s="175">
        <f>Master_Data[[#This Row],[Imp. Level]]/SUMIF(Master_Data[Subject],Master_Data[[#This Row],[Subject]],Master_Data[Imp. Level])</f>
        <v>5.8823529411764705E-2</v>
      </c>
      <c r="AI60" s="157">
        <f>Master_Data[[#This Row],[Subjectwise weights]]*Master_Data[[#This Row],[Confidence Level]]</f>
        <v>0.11764705882352941</v>
      </c>
      <c r="AJ60" s="158" t="str">
        <f>IF(AND(Master_Data[[#This Row],[Inst. EOC Ques.]]="D",Master_Data[[#This Row],[Class Test Book]]="D"),"D","U")</f>
        <v>U</v>
      </c>
      <c r="AK60" s="155" t="str">
        <f>IF(AND(Master_Data[[#This Row],[Inst. Online Portal]]="D",Master_Data[[#This Row],[Prac. Book]]="D",Master_Data[[#This Row],[Schweser Prac. Bk 1]]="D",Master_Data[[#This Row],[Schweser Prac. Bk 2]]="D"),"D","U")</f>
        <v>U</v>
      </c>
      <c r="AL60" s="270" t="str">
        <f>IF(AND(Master_Data[[#This Row],[Lectures]]="D",Master_Data[[#This Row],[Self Study]]="D"),Master_Data[[#This Row],[No. of Chapters]],"U")</f>
        <v>U</v>
      </c>
    </row>
    <row r="61" spans="2:38" ht="27" customHeight="1">
      <c r="B61" s="3">
        <v>53</v>
      </c>
      <c r="C61" s="183" t="str">
        <f ca="1">IF(Master_Data[[#This Row],[Column1]]="Done","",IF(Master_Data[[#This Row],[Column1]]=MIN(Master_Data[Column1]),"Current Week",CONCATENATE("Week ",Master_Data[[#This Row],[Column1]])))</f>
        <v>Week 10</v>
      </c>
      <c r="D61" s="3">
        <f ca="1">IF(Master_Data[[#This Row],[Cum. Undone hrs]]=0,"Done",ROUNDUP(Master_Data[[#This Row],[Cum. Undone hrs]]/Working!$C$8,0))</f>
        <v>10</v>
      </c>
      <c r="E61" s="3">
        <f ca="1">IF(OR(D61=D60,D61=D60+1),Master_Data[[#This Row],[Column1]],D61-1)</f>
        <v>10</v>
      </c>
      <c r="F61" s="150">
        <f>SUM($G$9:G61)</f>
        <v>9.4798611111111093</v>
      </c>
      <c r="G61" s="26">
        <f>IF(Master_Data[[#This Row],[Lectures]]="D","",Master_Data[[#This Row],[Duration (hh:mm)]])</f>
        <v>0.10277777777777779</v>
      </c>
      <c r="H61" s="2" t="s">
        <v>25</v>
      </c>
      <c r="I61" s="2">
        <v>63</v>
      </c>
      <c r="J61" s="2" t="s">
        <v>135</v>
      </c>
      <c r="K61" s="44" t="s">
        <v>274</v>
      </c>
      <c r="L61" s="273">
        <v>1</v>
      </c>
      <c r="M61" s="16">
        <v>2</v>
      </c>
      <c r="N61" s="43">
        <v>5</v>
      </c>
      <c r="O61" s="43">
        <v>2</v>
      </c>
      <c r="P61" s="43">
        <v>5</v>
      </c>
      <c r="Q61" s="43">
        <v>5</v>
      </c>
      <c r="R61" s="43">
        <v>4</v>
      </c>
      <c r="S61" s="43">
        <v>5</v>
      </c>
      <c r="T61" s="11">
        <v>0.10277777777777779</v>
      </c>
      <c r="U61" s="42">
        <f>(SUM($T$9:T61)/$T$4)*100</f>
        <v>70.825983189789383</v>
      </c>
      <c r="V61" s="27" t="s">
        <v>6</v>
      </c>
      <c r="W61" s="27" t="s">
        <v>6</v>
      </c>
      <c r="X61" s="27" t="s">
        <v>6</v>
      </c>
      <c r="Y61" s="27" t="s">
        <v>6</v>
      </c>
      <c r="Z61" s="27" t="s">
        <v>6</v>
      </c>
      <c r="AA61" s="27" t="s">
        <v>6</v>
      </c>
      <c r="AB61" s="27" t="s">
        <v>6</v>
      </c>
      <c r="AC61" s="27" t="s">
        <v>6</v>
      </c>
      <c r="AD61" s="27" t="s">
        <v>6</v>
      </c>
      <c r="AE61" s="159">
        <v>2</v>
      </c>
      <c r="AF61" s="17"/>
      <c r="AG61" s="174">
        <f>R61/SUM($R$9:$R$85)</f>
        <v>1.3468013468013467E-2</v>
      </c>
      <c r="AH61" s="175">
        <f>Master_Data[[#This Row],[Imp. Level]]/SUMIF(Master_Data[Subject],Master_Data[[#This Row],[Subject]],Master_Data[Imp. Level])</f>
        <v>7.8431372549019607E-2</v>
      </c>
      <c r="AI61" s="157">
        <f>Master_Data[[#This Row],[Subjectwise weights]]*Master_Data[[#This Row],[Confidence Level]]</f>
        <v>0.15686274509803921</v>
      </c>
      <c r="AJ61" s="158" t="str">
        <f>IF(AND(Master_Data[[#This Row],[Inst. EOC Ques.]]="D",Master_Data[[#This Row],[Class Test Book]]="D"),"D","U")</f>
        <v>U</v>
      </c>
      <c r="AK61" s="155" t="str">
        <f>IF(AND(Master_Data[[#This Row],[Inst. Online Portal]]="D",Master_Data[[#This Row],[Prac. Book]]="D",Master_Data[[#This Row],[Schweser Prac. Bk 1]]="D",Master_Data[[#This Row],[Schweser Prac. Bk 2]]="D"),"D","U")</f>
        <v>U</v>
      </c>
      <c r="AL61" s="270" t="str">
        <f>IF(AND(Master_Data[[#This Row],[Lectures]]="D",Master_Data[[#This Row],[Self Study]]="D"),Master_Data[[#This Row],[No. of Chapters]],"U")</f>
        <v>U</v>
      </c>
    </row>
    <row r="62" spans="2:38" ht="27" customHeight="1">
      <c r="B62" s="3">
        <v>54</v>
      </c>
      <c r="C62" s="183" t="str">
        <f ca="1">IF(Master_Data[[#This Row],[Column1]]="Done","",IF(Master_Data[[#This Row],[Column1]]=MIN(Master_Data[Column1]),"Current Week",CONCATENATE("Week ",Master_Data[[#This Row],[Column1]])))</f>
        <v>Week 10</v>
      </c>
      <c r="D62" s="3">
        <f ca="1">IF(Master_Data[[#This Row],[Cum. Undone hrs]]=0,"Done",ROUNDUP(Master_Data[[#This Row],[Cum. Undone hrs]]/Working!$C$8,0))</f>
        <v>10</v>
      </c>
      <c r="E62" s="3">
        <f ca="1">IF(OR(D62=D61,D62=D61+1),Master_Data[[#This Row],[Column1]],D62-1)</f>
        <v>10</v>
      </c>
      <c r="F62" s="150">
        <f>SUM($G$9:G62)</f>
        <v>9.6152777777777754</v>
      </c>
      <c r="G62" s="26">
        <f>IF(Master_Data[[#This Row],[Lectures]]="D","",Master_Data[[#This Row],[Duration (hh:mm)]])</f>
        <v>0.13541666666666666</v>
      </c>
      <c r="H62" s="2" t="s">
        <v>25</v>
      </c>
      <c r="I62" s="2">
        <v>65</v>
      </c>
      <c r="J62" s="2" t="s">
        <v>135</v>
      </c>
      <c r="K62" s="44" t="s">
        <v>276</v>
      </c>
      <c r="L62" s="273">
        <v>1</v>
      </c>
      <c r="M62" s="16">
        <v>4</v>
      </c>
      <c r="N62" s="43">
        <v>5</v>
      </c>
      <c r="O62" s="43">
        <v>2</v>
      </c>
      <c r="P62" s="43">
        <v>5</v>
      </c>
      <c r="Q62" s="43">
        <v>5</v>
      </c>
      <c r="R62" s="43">
        <v>4</v>
      </c>
      <c r="S62" s="43">
        <v>5</v>
      </c>
      <c r="T62" s="11">
        <v>0.13541666666666666</v>
      </c>
      <c r="U62" s="42">
        <f>(SUM($T$9:T62)/$T$4)*100</f>
        <v>71.837708830548934</v>
      </c>
      <c r="V62" s="27" t="s">
        <v>6</v>
      </c>
      <c r="W62" s="27" t="s">
        <v>6</v>
      </c>
      <c r="X62" s="27" t="s">
        <v>6</v>
      </c>
      <c r="Y62" s="27" t="s">
        <v>6</v>
      </c>
      <c r="Z62" s="27" t="s">
        <v>6</v>
      </c>
      <c r="AA62" s="27" t="s">
        <v>6</v>
      </c>
      <c r="AB62" s="27" t="s">
        <v>6</v>
      </c>
      <c r="AC62" s="27" t="s">
        <v>6</v>
      </c>
      <c r="AD62" s="27" t="s">
        <v>6</v>
      </c>
      <c r="AE62" s="159">
        <v>2</v>
      </c>
      <c r="AF62" s="17"/>
      <c r="AG62" s="174">
        <f>R62/SUM($R$9:$R$85)</f>
        <v>1.3468013468013467E-2</v>
      </c>
      <c r="AH62" s="175">
        <f>Master_Data[[#This Row],[Imp. Level]]/SUMIF(Master_Data[Subject],Master_Data[[#This Row],[Subject]],Master_Data[Imp. Level])</f>
        <v>7.8431372549019607E-2</v>
      </c>
      <c r="AI62" s="157">
        <f>Master_Data[[#This Row],[Subjectwise weights]]*Master_Data[[#This Row],[Confidence Level]]</f>
        <v>0.15686274509803921</v>
      </c>
      <c r="AJ62" s="158" t="str">
        <f>IF(AND(Master_Data[[#This Row],[Inst. EOC Ques.]]="D",Master_Data[[#This Row],[Class Test Book]]="D"),"D","U")</f>
        <v>U</v>
      </c>
      <c r="AK62" s="155" t="str">
        <f>IF(AND(Master_Data[[#This Row],[Inst. Online Portal]]="D",Master_Data[[#This Row],[Prac. Book]]="D",Master_Data[[#This Row],[Schweser Prac. Bk 1]]="D",Master_Data[[#This Row],[Schweser Prac. Bk 2]]="D"),"D","U")</f>
        <v>U</v>
      </c>
      <c r="AL62" s="270" t="str">
        <f>IF(AND(Master_Data[[#This Row],[Lectures]]="D",Master_Data[[#This Row],[Self Study]]="D"),Master_Data[[#This Row],[No. of Chapters]],"U")</f>
        <v>U</v>
      </c>
    </row>
    <row r="63" spans="2:38" ht="27" customHeight="1">
      <c r="B63" s="3">
        <v>55</v>
      </c>
      <c r="C63" s="183" t="str">
        <f ca="1">IF(Master_Data[[#This Row],[Column1]]="Done","",IF(Master_Data[[#This Row],[Column1]]=MIN(Master_Data[Column1]),"Current Week",CONCATENATE("Week ",Master_Data[[#This Row],[Column1]])))</f>
        <v>Week 10</v>
      </c>
      <c r="D63" s="3">
        <f ca="1">IF(Master_Data[[#This Row],[Cum. Undone hrs]]=0,"Done",ROUNDUP(Master_Data[[#This Row],[Cum. Undone hrs]]/Working!$C$8,0))</f>
        <v>10</v>
      </c>
      <c r="E63" s="3">
        <f ca="1">IF(OR(D63=D60,D63=D60+1),Master_Data[[#This Row],[Column1]],D63-1)</f>
        <v>10</v>
      </c>
      <c r="F63" s="15">
        <f>SUM($G$9:G63)</f>
        <v>9.6958333333333311</v>
      </c>
      <c r="G63" s="26">
        <f>IF(Master_Data[[#This Row],[Lectures]]="D","",Master_Data[[#This Row],[Duration (hh:mm)]])</f>
        <v>8.0555555555555561E-2</v>
      </c>
      <c r="H63" s="2" t="s">
        <v>14</v>
      </c>
      <c r="I63" s="2">
        <v>16</v>
      </c>
      <c r="J63" s="2" t="s">
        <v>135</v>
      </c>
      <c r="K63" s="44" t="s">
        <v>201</v>
      </c>
      <c r="L63" s="273">
        <v>1</v>
      </c>
      <c r="M63" s="16">
        <v>6</v>
      </c>
      <c r="N63" s="43">
        <v>2</v>
      </c>
      <c r="O63" s="43">
        <v>1</v>
      </c>
      <c r="P63" s="43">
        <v>2</v>
      </c>
      <c r="Q63" s="43">
        <v>3</v>
      </c>
      <c r="R63" s="43">
        <v>3</v>
      </c>
      <c r="S63" s="43">
        <v>3</v>
      </c>
      <c r="T63" s="13">
        <v>8.0555555555555561E-2</v>
      </c>
      <c r="U63" s="42">
        <f>(SUM($T$9:T63)/$T$4)*100</f>
        <v>72.439555878385406</v>
      </c>
      <c r="V63" s="27" t="s">
        <v>6</v>
      </c>
      <c r="W63" s="27" t="s">
        <v>6</v>
      </c>
      <c r="X63" s="27" t="s">
        <v>6</v>
      </c>
      <c r="Y63" s="27" t="s">
        <v>6</v>
      </c>
      <c r="Z63" s="27" t="s">
        <v>6</v>
      </c>
      <c r="AA63" s="27" t="s">
        <v>6</v>
      </c>
      <c r="AB63" s="27" t="s">
        <v>6</v>
      </c>
      <c r="AC63" s="27" t="s">
        <v>6</v>
      </c>
      <c r="AD63" s="27" t="s">
        <v>6</v>
      </c>
      <c r="AE63" s="159">
        <v>2</v>
      </c>
      <c r="AF63" s="17"/>
      <c r="AG63" s="174">
        <f>R63/SUM($R$9:$R$85)</f>
        <v>1.0101010101010102E-2</v>
      </c>
      <c r="AH63" s="175">
        <f>Master_Data[[#This Row],[Imp. Level]]/SUMIF(Master_Data[Subject],Master_Data[[#This Row],[Subject]],Master_Data[Imp. Level])</f>
        <v>0.10344827586206896</v>
      </c>
      <c r="AI63" s="157">
        <f>Master_Data[[#This Row],[Subjectwise weights]]*Master_Data[[#This Row],[Confidence Level]]</f>
        <v>0.20689655172413793</v>
      </c>
      <c r="AJ63" s="158" t="str">
        <f>IF(AND(Master_Data[[#This Row],[Inst. EOC Ques.]]="D",Master_Data[[#This Row],[Class Test Book]]="D"),"D","U")</f>
        <v>U</v>
      </c>
      <c r="AK63" s="155" t="str">
        <f>IF(AND(Master_Data[[#This Row],[Inst. Online Portal]]="D",Master_Data[[#This Row],[Prac. Book]]="D",Master_Data[[#This Row],[Schweser Prac. Bk 1]]="D",Master_Data[[#This Row],[Schweser Prac. Bk 2]]="D"),"D","U")</f>
        <v>U</v>
      </c>
      <c r="AL63" s="270" t="str">
        <f>IF(AND(Master_Data[[#This Row],[Lectures]]="D",Master_Data[[#This Row],[Self Study]]="D"),Master_Data[[#This Row],[No. of Chapters]],"U")</f>
        <v>U</v>
      </c>
    </row>
    <row r="64" spans="2:38" ht="27" customHeight="1">
      <c r="B64" s="3">
        <v>56</v>
      </c>
      <c r="C64" s="183" t="str">
        <f ca="1">IF(Master_Data[[#This Row],[Column1]]="Done","",IF(Master_Data[[#This Row],[Column1]]=MIN(Master_Data[Column1]),"Current Week",CONCATENATE("Week ",Master_Data[[#This Row],[Column1]])))</f>
        <v>Week 10</v>
      </c>
      <c r="D64" s="3">
        <f ca="1">IF(Master_Data[[#This Row],[Cum. Undone hrs]]=0,"Done",ROUNDUP(Master_Data[[#This Row],[Cum. Undone hrs]]/Working!$C$8,0))</f>
        <v>10</v>
      </c>
      <c r="E64" s="3">
        <f ca="1">IF(OR(D64=D63,D64=D63+1),Master_Data[[#This Row],[Column1]],D64-1)</f>
        <v>10</v>
      </c>
      <c r="F64" s="15">
        <f>SUM($G$9:G64)</f>
        <v>9.8326388888888872</v>
      </c>
      <c r="G64" s="26">
        <f>IF(Master_Data[[#This Row],[Lectures]]="D","",Master_Data[[#This Row],[Duration (hh:mm)]])</f>
        <v>0.13680555555555554</v>
      </c>
      <c r="H64" s="2" t="s">
        <v>14</v>
      </c>
      <c r="I64" s="2" t="s">
        <v>237</v>
      </c>
      <c r="J64" s="2" t="s">
        <v>135</v>
      </c>
      <c r="K64" s="44" t="s">
        <v>16</v>
      </c>
      <c r="L64" s="273">
        <v>2</v>
      </c>
      <c r="M64" s="16">
        <v>9</v>
      </c>
      <c r="N64" s="43">
        <v>4</v>
      </c>
      <c r="O64" s="43">
        <v>3</v>
      </c>
      <c r="P64" s="43">
        <v>4</v>
      </c>
      <c r="Q64" s="43">
        <v>3</v>
      </c>
      <c r="R64" s="43">
        <v>4</v>
      </c>
      <c r="S64" s="43">
        <v>3</v>
      </c>
      <c r="T64" s="13">
        <v>0.13680555555555554</v>
      </c>
      <c r="U64" s="42">
        <f>(SUM($T$9:T64)/$T$4)*100</f>
        <v>73.461658192383553</v>
      </c>
      <c r="V64" s="27" t="s">
        <v>6</v>
      </c>
      <c r="W64" s="27" t="s">
        <v>6</v>
      </c>
      <c r="X64" s="27" t="s">
        <v>6</v>
      </c>
      <c r="Y64" s="27" t="s">
        <v>6</v>
      </c>
      <c r="Z64" s="27" t="s">
        <v>6</v>
      </c>
      <c r="AA64" s="27" t="s">
        <v>6</v>
      </c>
      <c r="AB64" s="27" t="s">
        <v>6</v>
      </c>
      <c r="AC64" s="27" t="s">
        <v>6</v>
      </c>
      <c r="AD64" s="27" t="s">
        <v>6</v>
      </c>
      <c r="AE64" s="159">
        <v>2</v>
      </c>
      <c r="AF64" s="17"/>
      <c r="AG64" s="174">
        <f t="shared" ref="AG64:AG72" si="3">R64/SUM($R$9:$R$73)</f>
        <v>1.6E-2</v>
      </c>
      <c r="AH64" s="175">
        <f>Master_Data[[#This Row],[Imp. Level]]/SUMIF(Master_Data[Subject],Master_Data[[#This Row],[Subject]],Master_Data[Imp. Level])</f>
        <v>0.13793103448275862</v>
      </c>
      <c r="AI64" s="157">
        <f>Master_Data[[#This Row],[Subjectwise weights]]*Master_Data[[#This Row],[Confidence Level]]</f>
        <v>0.27586206896551724</v>
      </c>
      <c r="AJ64" s="158" t="str">
        <f>IF(AND(Master_Data[[#This Row],[Inst. EOC Ques.]]="D",Master_Data[[#This Row],[Class Test Book]]="D"),"D","U")</f>
        <v>U</v>
      </c>
      <c r="AK64" s="155" t="str">
        <f>IF(AND(Master_Data[[#This Row],[Inst. Online Portal]]="D",Master_Data[[#This Row],[Prac. Book]]="D",Master_Data[[#This Row],[Schweser Prac. Bk 1]]="D",Master_Data[[#This Row],[Schweser Prac. Bk 2]]="D"),"D","U")</f>
        <v>U</v>
      </c>
      <c r="AL64" s="270" t="str">
        <f>IF(AND(Master_Data[[#This Row],[Lectures]]="D",Master_Data[[#This Row],[Self Study]]="D"),Master_Data[[#This Row],[No. of Chapters]],"U")</f>
        <v>U</v>
      </c>
    </row>
    <row r="65" spans="2:38" ht="27" customHeight="1">
      <c r="B65" s="3">
        <v>57</v>
      </c>
      <c r="C65" s="183" t="str">
        <f ca="1">IF(Master_Data[[#This Row],[Column1]]="Done","",IF(Master_Data[[#This Row],[Column1]]=MIN(Master_Data[Column1]),"Current Week",CONCATENATE("Week ",Master_Data[[#This Row],[Column1]])))</f>
        <v>Week 10</v>
      </c>
      <c r="D65" s="3">
        <f ca="1">IF(Master_Data[[#This Row],[Cum. Undone hrs]]=0,"Done",ROUNDUP(Master_Data[[#This Row],[Cum. Undone hrs]]/Working!$C$8,0))</f>
        <v>10</v>
      </c>
      <c r="E65" s="3">
        <f ca="1">IF(OR(D65=D64,D65=D64+1),Master_Data[[#This Row],[Column1]],D65-1)</f>
        <v>10</v>
      </c>
      <c r="F65" s="15">
        <f>SUM($G$9:G65)</f>
        <v>10.017361111111109</v>
      </c>
      <c r="G65" s="26">
        <f>IF(Master_Data[[#This Row],[Lectures]]="D","",Master_Data[[#This Row],[Duration (hh:mm)]])</f>
        <v>0.18472222222222223</v>
      </c>
      <c r="H65" s="2" t="s">
        <v>14</v>
      </c>
      <c r="I65" s="2" t="s">
        <v>238</v>
      </c>
      <c r="J65" s="2" t="s">
        <v>135</v>
      </c>
      <c r="K65" s="44" t="s">
        <v>253</v>
      </c>
      <c r="L65" s="273">
        <v>3</v>
      </c>
      <c r="M65" s="16">
        <v>9</v>
      </c>
      <c r="N65" s="43">
        <v>4</v>
      </c>
      <c r="O65" s="43">
        <v>4</v>
      </c>
      <c r="P65" s="43">
        <v>5</v>
      </c>
      <c r="Q65" s="43">
        <v>5</v>
      </c>
      <c r="R65" s="43">
        <v>5</v>
      </c>
      <c r="S65" s="43">
        <v>4</v>
      </c>
      <c r="T65" s="14">
        <v>0.18472222222222223</v>
      </c>
      <c r="U65" s="42">
        <f>(SUM($T$9:T65)/$T$4)*100</f>
        <v>74.841755733111981</v>
      </c>
      <c r="V65" s="27" t="s">
        <v>6</v>
      </c>
      <c r="W65" s="27" t="s">
        <v>6</v>
      </c>
      <c r="X65" s="27" t="s">
        <v>6</v>
      </c>
      <c r="Y65" s="27" t="s">
        <v>6</v>
      </c>
      <c r="Z65" s="27" t="s">
        <v>6</v>
      </c>
      <c r="AA65" s="27" t="s">
        <v>6</v>
      </c>
      <c r="AB65" s="27" t="s">
        <v>6</v>
      </c>
      <c r="AC65" s="27" t="s">
        <v>6</v>
      </c>
      <c r="AD65" s="27" t="s">
        <v>6</v>
      </c>
      <c r="AE65" s="159">
        <v>3</v>
      </c>
      <c r="AF65" s="17"/>
      <c r="AG65" s="174">
        <f t="shared" si="3"/>
        <v>0.02</v>
      </c>
      <c r="AH65" s="175">
        <f>Master_Data[[#This Row],[Imp. Level]]/SUMIF(Master_Data[Subject],Master_Data[[#This Row],[Subject]],Master_Data[Imp. Level])</f>
        <v>0.17241379310344829</v>
      </c>
      <c r="AI65" s="157">
        <f>Master_Data[[#This Row],[Subjectwise weights]]*Master_Data[[#This Row],[Confidence Level]]</f>
        <v>0.51724137931034486</v>
      </c>
      <c r="AJ65" s="158" t="str">
        <f>IF(AND(Master_Data[[#This Row],[Inst. EOC Ques.]]="D",Master_Data[[#This Row],[Class Test Book]]="D"),"D","U")</f>
        <v>U</v>
      </c>
      <c r="AK65" s="155" t="str">
        <f>IF(AND(Master_Data[[#This Row],[Inst. Online Portal]]="D",Master_Data[[#This Row],[Prac. Book]]="D",Master_Data[[#This Row],[Schweser Prac. Bk 1]]="D",Master_Data[[#This Row],[Schweser Prac. Bk 2]]="D"),"D","U")</f>
        <v>U</v>
      </c>
      <c r="AL65" s="270" t="str">
        <f>IF(AND(Master_Data[[#This Row],[Lectures]]="D",Master_Data[[#This Row],[Self Study]]="D"),Master_Data[[#This Row],[No. of Chapters]],"U")</f>
        <v>U</v>
      </c>
    </row>
    <row r="66" spans="2:38" ht="27" customHeight="1">
      <c r="B66" s="3">
        <v>58</v>
      </c>
      <c r="C66" s="183" t="str">
        <f ca="1">IF(Master_Data[[#This Row],[Column1]]="Done","",IF(Master_Data[[#This Row],[Column1]]=MIN(Master_Data[Column1]),"Current Week",CONCATENATE("Week ",Master_Data[[#This Row],[Column1]])))</f>
        <v>Week 11</v>
      </c>
      <c r="D66" s="3">
        <f ca="1">IF(Master_Data[[#This Row],[Cum. Undone hrs]]=0,"Done",ROUNDUP(Master_Data[[#This Row],[Cum. Undone hrs]]/Working!$C$8,0))</f>
        <v>11</v>
      </c>
      <c r="E66" s="3">
        <f ca="1">IF(OR(D66=D65,D66=D65+1),Master_Data[[#This Row],[Column1]],D66-1)</f>
        <v>11</v>
      </c>
      <c r="F66" s="15">
        <f>SUM($G$9:G66)</f>
        <v>10.40347222222222</v>
      </c>
      <c r="G66" s="26">
        <f>IF(Master_Data[[#This Row],[Lectures]]="D","",Master_Data[[#This Row],[Duration (hh:mm)]])</f>
        <v>0.38611111111111113</v>
      </c>
      <c r="H66" s="2" t="s">
        <v>277</v>
      </c>
      <c r="I66" s="2" t="s">
        <v>282</v>
      </c>
      <c r="J66" s="2" t="s">
        <v>135</v>
      </c>
      <c r="K66" s="44" t="s">
        <v>279</v>
      </c>
      <c r="L66" s="273">
        <v>2</v>
      </c>
      <c r="M66" s="16">
        <v>16</v>
      </c>
      <c r="N66" s="43">
        <v>5</v>
      </c>
      <c r="O66" s="43">
        <v>4</v>
      </c>
      <c r="P66" s="43">
        <v>5</v>
      </c>
      <c r="Q66" s="43">
        <v>4</v>
      </c>
      <c r="R66" s="43">
        <v>5</v>
      </c>
      <c r="S66" s="43">
        <v>4</v>
      </c>
      <c r="T66" s="13">
        <v>0.38611111111111113</v>
      </c>
      <c r="U66" s="42">
        <f>(SUM($T$9:T66)/$T$4)*100</f>
        <v>77.726470893431582</v>
      </c>
      <c r="V66" s="27" t="s">
        <v>6</v>
      </c>
      <c r="W66" s="27" t="s">
        <v>6</v>
      </c>
      <c r="X66" s="27" t="s">
        <v>6</v>
      </c>
      <c r="Y66" s="27" t="s">
        <v>6</v>
      </c>
      <c r="Z66" s="27" t="s">
        <v>6</v>
      </c>
      <c r="AA66" s="27" t="s">
        <v>6</v>
      </c>
      <c r="AB66" s="27" t="s">
        <v>6</v>
      </c>
      <c r="AC66" s="27" t="s">
        <v>6</v>
      </c>
      <c r="AD66" s="27" t="s">
        <v>6</v>
      </c>
      <c r="AE66" s="159">
        <v>2</v>
      </c>
      <c r="AF66" s="17"/>
      <c r="AG66" s="174">
        <f t="shared" si="3"/>
        <v>0.02</v>
      </c>
      <c r="AH66" s="175">
        <f>Master_Data[[#This Row],[Imp. Level]]/SUMIF(Master_Data[Subject],Master_Data[[#This Row],[Subject]],Master_Data[Imp. Level])</f>
        <v>0.25</v>
      </c>
      <c r="AI66" s="157">
        <f>Master_Data[[#This Row],[Subjectwise weights]]*Master_Data[[#This Row],[Confidence Level]]</f>
        <v>0.5</v>
      </c>
      <c r="AJ66" s="158" t="str">
        <f>IF(AND(Master_Data[[#This Row],[Inst. EOC Ques.]]="D",Master_Data[[#This Row],[Class Test Book]]="D"),"D","U")</f>
        <v>U</v>
      </c>
      <c r="AK66" s="155" t="str">
        <f>IF(AND(Master_Data[[#This Row],[Inst. Online Portal]]="D",Master_Data[[#This Row],[Prac. Book]]="D",Master_Data[[#This Row],[Schweser Prac. Bk 1]]="D",Master_Data[[#This Row],[Schweser Prac. Bk 2]]="D"),"D","U")</f>
        <v>U</v>
      </c>
      <c r="AL66" s="270" t="str">
        <f>IF(AND(Master_Data[[#This Row],[Lectures]]="D",Master_Data[[#This Row],[Self Study]]="D"),Master_Data[[#This Row],[No. of Chapters]],"U")</f>
        <v>U</v>
      </c>
    </row>
    <row r="67" spans="2:38" ht="27" customHeight="1">
      <c r="B67" s="3">
        <v>59</v>
      </c>
      <c r="C67" s="183" t="str">
        <f ca="1">IF(Master_Data[[#This Row],[Column1]]="Done","",IF(Master_Data[[#This Row],[Column1]]=MIN(Master_Data[Column1]),"Current Week",CONCATENATE("Week ",Master_Data[[#This Row],[Column1]])))</f>
        <v>Week 11</v>
      </c>
      <c r="D67" s="3">
        <f ca="1">IF(Master_Data[[#This Row],[Cum. Undone hrs]]=0,"Done",ROUNDUP(Master_Data[[#This Row],[Cum. Undone hrs]]/Working!$C$8,0))</f>
        <v>11</v>
      </c>
      <c r="E67" s="3">
        <f ca="1">IF(OR(D67=D66,D67=D66+1),Master_Data[[#This Row],[Column1]],D67-1)</f>
        <v>11</v>
      </c>
      <c r="F67" s="15">
        <f>SUM($G$9:G67)</f>
        <v>10.59097222222222</v>
      </c>
      <c r="G67" s="26">
        <f>IF(Master_Data[[#This Row],[Lectures]]="D","",Master_Data[[#This Row],[Duration (hh:mm)]])</f>
        <v>0.1875</v>
      </c>
      <c r="H67" s="2" t="s">
        <v>14</v>
      </c>
      <c r="I67" s="2" t="s">
        <v>234</v>
      </c>
      <c r="J67" s="2" t="s">
        <v>135</v>
      </c>
      <c r="K67" s="44" t="s">
        <v>252</v>
      </c>
      <c r="L67" s="273">
        <v>1.5</v>
      </c>
      <c r="M67" s="16">
        <v>10</v>
      </c>
      <c r="N67" s="43">
        <v>4</v>
      </c>
      <c r="O67" s="43">
        <v>2</v>
      </c>
      <c r="P67" s="43">
        <v>2</v>
      </c>
      <c r="Q67" s="43">
        <v>2</v>
      </c>
      <c r="R67" s="43">
        <v>3</v>
      </c>
      <c r="S67" s="43">
        <v>3</v>
      </c>
      <c r="T67" s="13">
        <v>0.1875</v>
      </c>
      <c r="U67" s="42">
        <f>(SUM($T$9:T67)/$T$4)*100</f>
        <v>79.127321780637146</v>
      </c>
      <c r="V67" s="27" t="s">
        <v>6</v>
      </c>
      <c r="W67" s="27" t="s">
        <v>6</v>
      </c>
      <c r="X67" s="27" t="s">
        <v>6</v>
      </c>
      <c r="Y67" s="27" t="s">
        <v>6</v>
      </c>
      <c r="Z67" s="27" t="s">
        <v>6</v>
      </c>
      <c r="AA67" s="27" t="s">
        <v>6</v>
      </c>
      <c r="AB67" s="27" t="s">
        <v>6</v>
      </c>
      <c r="AC67" s="27" t="s">
        <v>6</v>
      </c>
      <c r="AD67" s="27" t="s">
        <v>6</v>
      </c>
      <c r="AE67" s="159">
        <v>3</v>
      </c>
      <c r="AF67" s="17"/>
      <c r="AG67" s="174">
        <f t="shared" si="3"/>
        <v>1.2E-2</v>
      </c>
      <c r="AH67" s="175">
        <f>Master_Data[[#This Row],[Imp. Level]]/SUMIF(Master_Data[Subject],Master_Data[[#This Row],[Subject]],Master_Data[Imp. Level])</f>
        <v>0.10344827586206896</v>
      </c>
      <c r="AI67" s="157">
        <f>Master_Data[[#This Row],[Subjectwise weights]]*Master_Data[[#This Row],[Confidence Level]]</f>
        <v>0.31034482758620691</v>
      </c>
      <c r="AJ67" s="158" t="str">
        <f>IF(AND(Master_Data[[#This Row],[Inst. EOC Ques.]]="D",Master_Data[[#This Row],[Class Test Book]]="D"),"D","U")</f>
        <v>U</v>
      </c>
      <c r="AK67" s="155" t="str">
        <f>IF(AND(Master_Data[[#This Row],[Inst. Online Portal]]="D",Master_Data[[#This Row],[Prac. Book]]="D",Master_Data[[#This Row],[Schweser Prac. Bk 1]]="D",Master_Data[[#This Row],[Schweser Prac. Bk 2]]="D"),"D","U")</f>
        <v>U</v>
      </c>
      <c r="AL67" s="270" t="str">
        <f>IF(AND(Master_Data[[#This Row],[Lectures]]="D",Master_Data[[#This Row],[Self Study]]="D"),Master_Data[[#This Row],[No. of Chapters]],"U")</f>
        <v>U</v>
      </c>
    </row>
    <row r="68" spans="2:38" ht="27" customHeight="1">
      <c r="B68" s="3">
        <v>60</v>
      </c>
      <c r="C68" s="183" t="str">
        <f ca="1">IF(Master_Data[[#This Row],[Column1]]="Done","",IF(Master_Data[[#This Row],[Column1]]=MIN(Master_Data[Column1]),"Current Week",CONCATENATE("Week ",Master_Data[[#This Row],[Column1]])))</f>
        <v>Week 11</v>
      </c>
      <c r="D68" s="3">
        <f ca="1">IF(Master_Data[[#This Row],[Cum. Undone hrs]]=0,"Done",ROUNDUP(Master_Data[[#This Row],[Cum. Undone hrs]]/Working!$C$8,0))</f>
        <v>11</v>
      </c>
      <c r="E68" s="3">
        <f ca="1">IF(OR(D68=D67,D68=D67+1),Master_Data[[#This Row],[Column1]],D68-1)</f>
        <v>11</v>
      </c>
      <c r="F68" s="15">
        <f>SUM($G$9:G68)</f>
        <v>10.77847222222222</v>
      </c>
      <c r="G68" s="26">
        <f>IF(Master_Data[[#This Row],[Lectures]]="D","",Master_Data[[#This Row],[Duration (hh:mm)]])</f>
        <v>0.1875</v>
      </c>
      <c r="H68" s="2" t="s">
        <v>14</v>
      </c>
      <c r="I68" s="2" t="s">
        <v>239</v>
      </c>
      <c r="J68" s="2" t="s">
        <v>135</v>
      </c>
      <c r="K68" s="44" t="s">
        <v>254</v>
      </c>
      <c r="L68" s="273">
        <v>1.5</v>
      </c>
      <c r="M68" s="16">
        <v>11</v>
      </c>
      <c r="N68" s="43">
        <v>5</v>
      </c>
      <c r="O68" s="43">
        <v>2</v>
      </c>
      <c r="P68" s="43">
        <v>3</v>
      </c>
      <c r="Q68" s="43">
        <v>2</v>
      </c>
      <c r="R68" s="43">
        <v>4</v>
      </c>
      <c r="S68" s="43">
        <v>3</v>
      </c>
      <c r="T68" s="12">
        <v>0.1875</v>
      </c>
      <c r="U68" s="42">
        <f>(SUM($T$9:T68)/$T$4)*100</f>
        <v>80.528172667842711</v>
      </c>
      <c r="V68" s="27" t="s">
        <v>6</v>
      </c>
      <c r="W68" s="27" t="s">
        <v>6</v>
      </c>
      <c r="X68" s="27" t="s">
        <v>6</v>
      </c>
      <c r="Y68" s="27" t="s">
        <v>6</v>
      </c>
      <c r="Z68" s="27" t="s">
        <v>6</v>
      </c>
      <c r="AA68" s="27" t="s">
        <v>6</v>
      </c>
      <c r="AB68" s="27" t="s">
        <v>6</v>
      </c>
      <c r="AC68" s="27" t="s">
        <v>6</v>
      </c>
      <c r="AD68" s="27" t="s">
        <v>6</v>
      </c>
      <c r="AE68" s="159">
        <v>3</v>
      </c>
      <c r="AF68" s="17"/>
      <c r="AG68" s="174">
        <f t="shared" si="3"/>
        <v>1.6E-2</v>
      </c>
      <c r="AH68" s="175">
        <f>Master_Data[[#This Row],[Imp. Level]]/SUMIF(Master_Data[Subject],Master_Data[[#This Row],[Subject]],Master_Data[Imp. Level])</f>
        <v>0.13793103448275862</v>
      </c>
      <c r="AI68" s="157">
        <f>Master_Data[[#This Row],[Subjectwise weights]]*Master_Data[[#This Row],[Confidence Level]]</f>
        <v>0.41379310344827586</v>
      </c>
      <c r="AJ68" s="158" t="str">
        <f>IF(AND(Master_Data[[#This Row],[Inst. EOC Ques.]]="D",Master_Data[[#This Row],[Class Test Book]]="D"),"D","U")</f>
        <v>U</v>
      </c>
      <c r="AK68" s="155" t="str">
        <f>IF(AND(Master_Data[[#This Row],[Inst. Online Portal]]="D",Master_Data[[#This Row],[Prac. Book]]="D",Master_Data[[#This Row],[Schweser Prac. Bk 1]]="D",Master_Data[[#This Row],[Schweser Prac. Bk 2]]="D"),"D","U")</f>
        <v>U</v>
      </c>
      <c r="AL68" s="270" t="str">
        <f>IF(AND(Master_Data[[#This Row],[Lectures]]="D",Master_Data[[#This Row],[Self Study]]="D"),Master_Data[[#This Row],[No. of Chapters]],"U")</f>
        <v>U</v>
      </c>
    </row>
    <row r="69" spans="2:38" ht="26.25" customHeight="1">
      <c r="B69" s="3">
        <v>61</v>
      </c>
      <c r="C69" s="183" t="str">
        <f ca="1">IF(Master_Data[[#This Row],[Column1]]="Done","",IF(Master_Data[[#This Row],[Column1]]=MIN(Master_Data[Column1]),"Current Week",CONCATENATE("Week ",Master_Data[[#This Row],[Column1]])))</f>
        <v>Week 11</v>
      </c>
      <c r="D69" s="3">
        <f ca="1">IF(Master_Data[[#This Row],[Cum. Undone hrs]]=0,"Done",ROUNDUP(Master_Data[[#This Row],[Cum. Undone hrs]]/Working!$C$8,0))</f>
        <v>11</v>
      </c>
      <c r="E69" s="3">
        <f ca="1">IF(OR(D69=D68,D69=D68+1),Master_Data[[#This Row],[Column1]],D69-1)</f>
        <v>11</v>
      </c>
      <c r="F69" s="15">
        <f>SUM($G$9:G69)</f>
        <v>11.030555555555553</v>
      </c>
      <c r="G69" s="26">
        <f>IF(Master_Data[[#This Row],[Lectures]]="D","",Master_Data[[#This Row],[Duration (hh:mm)]])</f>
        <v>0.25208333333333333</v>
      </c>
      <c r="H69" s="2" t="s">
        <v>14</v>
      </c>
      <c r="I69" s="2" t="s">
        <v>199</v>
      </c>
      <c r="J69" s="2" t="s">
        <v>135</v>
      </c>
      <c r="K69" s="44" t="s">
        <v>129</v>
      </c>
      <c r="L69" s="273">
        <v>1</v>
      </c>
      <c r="M69" s="16">
        <v>15</v>
      </c>
      <c r="N69" s="43">
        <v>4</v>
      </c>
      <c r="O69" s="43">
        <v>2</v>
      </c>
      <c r="P69" s="43">
        <v>4</v>
      </c>
      <c r="Q69" s="43">
        <v>4</v>
      </c>
      <c r="R69" s="43">
        <v>3</v>
      </c>
      <c r="S69" s="43">
        <v>4</v>
      </c>
      <c r="T69" s="13">
        <v>0.25208333333333333</v>
      </c>
      <c r="U69" s="42">
        <f>(SUM($T$9:T69)/$T$4)*100</f>
        <v>82.411538860641301</v>
      </c>
      <c r="V69" s="27" t="s">
        <v>6</v>
      </c>
      <c r="W69" s="27" t="s">
        <v>6</v>
      </c>
      <c r="X69" s="27" t="s">
        <v>6</v>
      </c>
      <c r="Y69" s="27" t="s">
        <v>6</v>
      </c>
      <c r="Z69" s="27" t="s">
        <v>6</v>
      </c>
      <c r="AA69" s="27" t="s">
        <v>6</v>
      </c>
      <c r="AB69" s="27" t="s">
        <v>6</v>
      </c>
      <c r="AC69" s="27" t="s">
        <v>6</v>
      </c>
      <c r="AD69" s="27" t="s">
        <v>6</v>
      </c>
      <c r="AE69" s="159">
        <v>3</v>
      </c>
      <c r="AF69" s="19"/>
      <c r="AG69" s="174">
        <f t="shared" si="3"/>
        <v>1.2E-2</v>
      </c>
      <c r="AH69" s="175">
        <f>Master_Data[[#This Row],[Imp. Level]]/SUMIF(Master_Data[Subject],Master_Data[[#This Row],[Subject]],Master_Data[Imp. Level])</f>
        <v>0.10344827586206896</v>
      </c>
      <c r="AI69" s="157">
        <f>Master_Data[[#This Row],[Subjectwise weights]]*Master_Data[[#This Row],[Confidence Level]]</f>
        <v>0.31034482758620691</v>
      </c>
      <c r="AJ69" s="158" t="str">
        <f>IF(AND(Master_Data[[#This Row],[Inst. EOC Ques.]]="D",Master_Data[[#This Row],[Class Test Book]]="D"),"D","U")</f>
        <v>U</v>
      </c>
      <c r="AK69" s="155" t="str">
        <f>IF(AND(Master_Data[[#This Row],[Inst. Online Portal]]="D",Master_Data[[#This Row],[Prac. Book]]="D",Master_Data[[#This Row],[Schweser Prac. Bk 1]]="D",Master_Data[[#This Row],[Schweser Prac. Bk 2]]="D"),"D","U")</f>
        <v>U</v>
      </c>
      <c r="AL69" s="270" t="str">
        <f>IF(AND(Master_Data[[#This Row],[Lectures]]="D",Master_Data[[#This Row],[Self Study]]="D"),Master_Data[[#This Row],[No. of Chapters]],"U")</f>
        <v>U</v>
      </c>
    </row>
    <row r="70" spans="2:38" ht="26.25" customHeight="1">
      <c r="B70" s="3">
        <v>62</v>
      </c>
      <c r="C70" s="183" t="str">
        <f ca="1">IF(Master_Data[[#This Row],[Column1]]="Done","",IF(Master_Data[[#This Row],[Column1]]=MIN(Master_Data[Column1]),"Current Week",CONCATENATE("Week ",Master_Data[[#This Row],[Column1]])))</f>
        <v>Week 11</v>
      </c>
      <c r="D70" s="3">
        <f ca="1">IF(Master_Data[[#This Row],[Cum. Undone hrs]]=0,"Done",ROUNDUP(Master_Data[[#This Row],[Cum. Undone hrs]]/Working!$C$8,0))</f>
        <v>11</v>
      </c>
      <c r="E70" s="3">
        <f ca="1">IF(OR(D70=D69,D70=D69+1),Master_Data[[#This Row],[Column1]],D70-1)</f>
        <v>11</v>
      </c>
      <c r="F70" s="15">
        <f>SUM($G$9:G70)</f>
        <v>11.172916666666664</v>
      </c>
      <c r="G70" s="26">
        <f>IF(Master_Data[[#This Row],[Lectures]]="D","",Master_Data[[#This Row],[Duration (hh:mm)]])</f>
        <v>0.1423611111111111</v>
      </c>
      <c r="H70" s="2" t="s">
        <v>277</v>
      </c>
      <c r="I70" s="2">
        <v>85</v>
      </c>
      <c r="J70" s="2" t="s">
        <v>135</v>
      </c>
      <c r="K70" s="44" t="s">
        <v>266</v>
      </c>
      <c r="L70" s="273">
        <v>1</v>
      </c>
      <c r="M70" s="16">
        <v>6</v>
      </c>
      <c r="N70" s="43">
        <v>2</v>
      </c>
      <c r="O70" s="43">
        <v>1</v>
      </c>
      <c r="P70" s="43">
        <v>2</v>
      </c>
      <c r="Q70" s="43">
        <v>2</v>
      </c>
      <c r="R70" s="43">
        <v>3</v>
      </c>
      <c r="S70" s="43">
        <v>3</v>
      </c>
      <c r="T70" s="26">
        <v>0.1423611111111111</v>
      </c>
      <c r="U70" s="42">
        <f>(SUM($T$9:T70)/$T$4)*100</f>
        <v>83.475147867593662</v>
      </c>
      <c r="V70" s="27" t="s">
        <v>6</v>
      </c>
      <c r="W70" s="27" t="s">
        <v>6</v>
      </c>
      <c r="X70" s="27" t="s">
        <v>6</v>
      </c>
      <c r="Y70" s="27" t="s">
        <v>6</v>
      </c>
      <c r="Z70" s="27" t="s">
        <v>6</v>
      </c>
      <c r="AA70" s="27" t="s">
        <v>6</v>
      </c>
      <c r="AB70" s="27" t="s">
        <v>6</v>
      </c>
      <c r="AC70" s="27" t="s">
        <v>6</v>
      </c>
      <c r="AD70" s="27" t="s">
        <v>6</v>
      </c>
      <c r="AE70" s="159">
        <v>2</v>
      </c>
      <c r="AF70" s="17"/>
      <c r="AG70" s="174">
        <f t="shared" si="3"/>
        <v>1.2E-2</v>
      </c>
      <c r="AH70" s="175">
        <f>Master_Data[[#This Row],[Imp. Level]]/SUMIF(Master_Data[Subject],Master_Data[[#This Row],[Subject]],Master_Data[Imp. Level])</f>
        <v>0.15</v>
      </c>
      <c r="AI70" s="157">
        <f>Master_Data[[#This Row],[Subjectwise weights]]*Master_Data[[#This Row],[Confidence Level]]</f>
        <v>0.3</v>
      </c>
      <c r="AJ70" s="158" t="str">
        <f>IF(AND(Master_Data[[#This Row],[Inst. EOC Ques.]]="D",Master_Data[[#This Row],[Class Test Book]]="D"),"D","U")</f>
        <v>U</v>
      </c>
      <c r="AK70" s="155" t="str">
        <f>IF(AND(Master_Data[[#This Row],[Inst. Online Portal]]="D",Master_Data[[#This Row],[Prac. Book]]="D",Master_Data[[#This Row],[Schweser Prac. Bk 1]]="D",Master_Data[[#This Row],[Schweser Prac. Bk 2]]="D"),"D","U")</f>
        <v>U</v>
      </c>
      <c r="AL70" s="270" t="str">
        <f>IF(AND(Master_Data[[#This Row],[Lectures]]="D",Master_Data[[#This Row],[Self Study]]="D"),Master_Data[[#This Row],[No. of Chapters]],"U")</f>
        <v>U</v>
      </c>
    </row>
    <row r="71" spans="2:38" ht="26.45" customHeight="1">
      <c r="B71" s="3">
        <v>63</v>
      </c>
      <c r="C71" s="183" t="str">
        <f ca="1">IF(Master_Data[[#This Row],[Column1]]="Done","",IF(Master_Data[[#This Row],[Column1]]=MIN(Master_Data[Column1]),"Current Week",CONCATENATE("Week ",Master_Data[[#This Row],[Column1]])))</f>
        <v>Week 11</v>
      </c>
      <c r="D71" s="3">
        <f ca="1">IF(Master_Data[[#This Row],[Cum. Undone hrs]]=0,"Done",ROUNDUP(Master_Data[[#This Row],[Cum. Undone hrs]]/Working!$C$8,0))</f>
        <v>11</v>
      </c>
      <c r="E71" s="3">
        <f ca="1">IF(OR(D71=D70,D71=D70+1),Master_Data[[#This Row],[Column1]],D71-1)</f>
        <v>11</v>
      </c>
      <c r="F71" s="15">
        <f>SUM($G$9:G71)</f>
        <v>11.27708333333333</v>
      </c>
      <c r="G71" s="26">
        <f>IF(Master_Data[[#This Row],[Lectures]]="D","",Master_Data[[#This Row],[Duration (hh:mm)]])</f>
        <v>0.10416666666666667</v>
      </c>
      <c r="H71" s="2" t="s">
        <v>277</v>
      </c>
      <c r="I71" s="2">
        <v>86</v>
      </c>
      <c r="J71" s="2" t="s">
        <v>135</v>
      </c>
      <c r="K71" s="44" t="s">
        <v>21</v>
      </c>
      <c r="L71" s="273">
        <v>1</v>
      </c>
      <c r="M71" s="22">
        <v>8</v>
      </c>
      <c r="N71" s="43">
        <v>2</v>
      </c>
      <c r="O71" s="43">
        <v>1</v>
      </c>
      <c r="P71" s="43">
        <v>3</v>
      </c>
      <c r="Q71" s="43">
        <v>2</v>
      </c>
      <c r="R71" s="43">
        <v>4</v>
      </c>
      <c r="S71" s="43">
        <v>3</v>
      </c>
      <c r="T71" s="179">
        <v>0.10416666666666667</v>
      </c>
      <c r="U71" s="42">
        <f>(SUM($T$9:T71)/$T$4)*100</f>
        <v>84.253398360485647</v>
      </c>
      <c r="V71" s="27" t="s">
        <v>6</v>
      </c>
      <c r="W71" s="27" t="s">
        <v>6</v>
      </c>
      <c r="X71" s="27" t="s">
        <v>6</v>
      </c>
      <c r="Y71" s="27" t="s">
        <v>6</v>
      </c>
      <c r="Z71" s="27" t="s">
        <v>6</v>
      </c>
      <c r="AA71" s="27" t="s">
        <v>6</v>
      </c>
      <c r="AB71" s="27" t="s">
        <v>6</v>
      </c>
      <c r="AC71" s="27" t="s">
        <v>6</v>
      </c>
      <c r="AD71" s="27" t="s">
        <v>6</v>
      </c>
      <c r="AE71" s="159">
        <v>3</v>
      </c>
      <c r="AF71" s="17"/>
      <c r="AG71" s="174">
        <f t="shared" si="3"/>
        <v>1.6E-2</v>
      </c>
      <c r="AH71" s="175">
        <f>Master_Data[[#This Row],[Imp. Level]]/SUMIF(Master_Data[Subject],Master_Data[[#This Row],[Subject]],Master_Data[Imp. Level])</f>
        <v>0.2</v>
      </c>
      <c r="AI71" s="157">
        <f>Master_Data[[#This Row],[Subjectwise weights]]*Master_Data[[#This Row],[Confidence Level]]</f>
        <v>0.60000000000000009</v>
      </c>
      <c r="AJ71" s="158" t="str">
        <f>IF(AND(Master_Data[[#This Row],[Inst. EOC Ques.]]="D",Master_Data[[#This Row],[Class Test Book]]="D"),"D","U")</f>
        <v>U</v>
      </c>
      <c r="AK71" s="155" t="str">
        <f>IF(AND(Master_Data[[#This Row],[Inst. Online Portal]]="D",Master_Data[[#This Row],[Prac. Book]]="D",Master_Data[[#This Row],[Schweser Prac. Bk 1]]="D",Master_Data[[#This Row],[Schweser Prac. Bk 2]]="D"),"D","U")</f>
        <v>U</v>
      </c>
      <c r="AL71" s="270" t="str">
        <f>IF(AND(Master_Data[[#This Row],[Lectures]]="D",Master_Data[[#This Row],[Self Study]]="D"),Master_Data[[#This Row],[No. of Chapters]],"U")</f>
        <v>U</v>
      </c>
    </row>
    <row r="72" spans="2:38" ht="26.45" customHeight="1">
      <c r="B72" s="3">
        <v>64</v>
      </c>
      <c r="C72" s="183" t="str">
        <f ca="1">IF(Master_Data[[#This Row],[Column1]]="Done","",IF(Master_Data[[#This Row],[Column1]]=MIN(Master_Data[Column1]),"Current Week",CONCATENATE("Week ",Master_Data[[#This Row],[Column1]])))</f>
        <v>Week 12</v>
      </c>
      <c r="D72" s="3">
        <f ca="1">IF(Master_Data[[#This Row],[Cum. Undone hrs]]=0,"Done",ROUNDUP(Master_Data[[#This Row],[Cum. Undone hrs]]/Working!$C$8,0))</f>
        <v>12</v>
      </c>
      <c r="E72" s="3">
        <f ca="1">IF(OR(D72=D71,D72=D71+1),Master_Data[[#This Row],[Column1]],D72-1)</f>
        <v>12</v>
      </c>
      <c r="F72" s="15">
        <f>SUM($G$9:G72)</f>
        <v>11.418749999999998</v>
      </c>
      <c r="G72" s="26">
        <f>IF(Master_Data[[#This Row],[Lectures]]="D","",Master_Data[[#This Row],[Duration (hh:mm)]])</f>
        <v>0.14166666666666666</v>
      </c>
      <c r="H72" s="2" t="s">
        <v>277</v>
      </c>
      <c r="I72" s="2">
        <v>87</v>
      </c>
      <c r="J72" s="2" t="s">
        <v>135</v>
      </c>
      <c r="K72" s="44" t="s">
        <v>202</v>
      </c>
      <c r="L72" s="273">
        <v>1</v>
      </c>
      <c r="M72" s="178">
        <v>3</v>
      </c>
      <c r="N72" s="151">
        <v>2</v>
      </c>
      <c r="O72" s="152">
        <v>1</v>
      </c>
      <c r="P72" s="152">
        <v>3</v>
      </c>
      <c r="Q72" s="152">
        <v>4</v>
      </c>
      <c r="R72" s="152">
        <v>4</v>
      </c>
      <c r="S72" s="153">
        <v>4</v>
      </c>
      <c r="T72" s="26">
        <v>0.14166666666666666</v>
      </c>
      <c r="U72" s="42">
        <f>(SUM($T$9:T72)/$T$4)*100</f>
        <v>85.311819030818754</v>
      </c>
      <c r="V72" s="27" t="s">
        <v>6</v>
      </c>
      <c r="W72" s="27" t="s">
        <v>6</v>
      </c>
      <c r="X72" s="27" t="s">
        <v>6</v>
      </c>
      <c r="Y72" s="27" t="s">
        <v>6</v>
      </c>
      <c r="Z72" s="27" t="s">
        <v>6</v>
      </c>
      <c r="AA72" s="27" t="s">
        <v>6</v>
      </c>
      <c r="AB72" s="27" t="s">
        <v>6</v>
      </c>
      <c r="AC72" s="27" t="s">
        <v>6</v>
      </c>
      <c r="AD72" s="27" t="s">
        <v>6</v>
      </c>
      <c r="AE72" s="159">
        <v>3</v>
      </c>
      <c r="AF72" s="17"/>
      <c r="AG72" s="174">
        <f t="shared" si="3"/>
        <v>1.6E-2</v>
      </c>
      <c r="AH72" s="175">
        <f>Master_Data[[#This Row],[Imp. Level]]/SUMIF(Master_Data[Subject],Master_Data[[#This Row],[Subject]],Master_Data[Imp. Level])</f>
        <v>0.2</v>
      </c>
      <c r="AI72" s="157">
        <f>Master_Data[[#This Row],[Subjectwise weights]]*Master_Data[[#This Row],[Confidence Level]]</f>
        <v>0.60000000000000009</v>
      </c>
      <c r="AJ72" s="158" t="str">
        <f>IF(AND(Master_Data[[#This Row],[Inst. EOC Ques.]]="D",Master_Data[[#This Row],[Class Test Book]]="D"),"D","U")</f>
        <v>U</v>
      </c>
      <c r="AK72" s="155" t="str">
        <f>IF(AND(Master_Data[[#This Row],[Inst. Online Portal]]="D",Master_Data[[#This Row],[Prac. Book]]="D",Master_Data[[#This Row],[Schweser Prac. Bk 1]]="D",Master_Data[[#This Row],[Schweser Prac. Bk 2]]="D"),"D","U")</f>
        <v>U</v>
      </c>
      <c r="AL72" s="270" t="str">
        <f>IF(AND(Master_Data[[#This Row],[Lectures]]="D",Master_Data[[#This Row],[Self Study]]="D"),Master_Data[[#This Row],[No. of Chapters]],"U")</f>
        <v>U</v>
      </c>
    </row>
    <row r="73" spans="2:38" ht="27" customHeight="1">
      <c r="B73" s="3">
        <v>65</v>
      </c>
      <c r="C73" s="183" t="str">
        <f ca="1">IF(Master_Data[[#This Row],[Column1]]="Done","",IF(Master_Data[[#This Row],[Column1]]=MIN(Master_Data[Column1]),"Current Week",CONCATENATE("Week ",Master_Data[[#This Row],[Column1]])))</f>
        <v>Week 12</v>
      </c>
      <c r="D73" s="3">
        <f ca="1">IF(Master_Data[[#This Row],[Cum. Undone hrs]]=0,"Done",ROUNDUP(Master_Data[[#This Row],[Cum. Undone hrs]]/Working!$C$8,0))</f>
        <v>12</v>
      </c>
      <c r="E73" s="3">
        <f ca="1">IF(OR(D73=D72,D73=D72+1),Master_Data[[#This Row],[Column1]],D73-1)</f>
        <v>12</v>
      </c>
      <c r="F73" s="15">
        <f>SUM($G$9:G73)</f>
        <v>11.469444444444441</v>
      </c>
      <c r="G73" s="26">
        <f>IF(Master_Data[[#This Row],[Lectures]]="D","",Master_Data[[#This Row],[Duration (hh:mm)]])</f>
        <v>5.0694444444444452E-2</v>
      </c>
      <c r="H73" s="2" t="s">
        <v>9</v>
      </c>
      <c r="I73" s="2">
        <v>11</v>
      </c>
      <c r="J73" s="2" t="s">
        <v>135</v>
      </c>
      <c r="K73" s="44" t="s">
        <v>198</v>
      </c>
      <c r="L73" s="273">
        <v>1</v>
      </c>
      <c r="M73" s="178">
        <v>3</v>
      </c>
      <c r="N73" s="151">
        <v>3</v>
      </c>
      <c r="O73" s="152">
        <v>1</v>
      </c>
      <c r="P73" s="152">
        <v>3</v>
      </c>
      <c r="Q73" s="152">
        <v>3</v>
      </c>
      <c r="R73" s="152">
        <v>2</v>
      </c>
      <c r="S73" s="153">
        <v>3</v>
      </c>
      <c r="T73" s="179">
        <v>5.0694444444444452E-2</v>
      </c>
      <c r="U73" s="42">
        <f>(SUM($T$9:T73)/$T$4)*100</f>
        <v>85.690567604026171</v>
      </c>
      <c r="V73" s="27" t="s">
        <v>6</v>
      </c>
      <c r="W73" s="27" t="s">
        <v>6</v>
      </c>
      <c r="X73" s="27" t="s">
        <v>6</v>
      </c>
      <c r="Y73" s="27" t="s">
        <v>6</v>
      </c>
      <c r="Z73" s="27" t="s">
        <v>6</v>
      </c>
      <c r="AA73" s="27" t="s">
        <v>6</v>
      </c>
      <c r="AB73" s="27" t="s">
        <v>6</v>
      </c>
      <c r="AC73" s="27" t="s">
        <v>6</v>
      </c>
      <c r="AD73" s="27" t="s">
        <v>6</v>
      </c>
      <c r="AE73" s="159">
        <v>2</v>
      </c>
      <c r="AF73" s="17"/>
      <c r="AG73" s="174">
        <f>R73/SUM($R$9:$R$85)</f>
        <v>6.7340067340067337E-3</v>
      </c>
      <c r="AH73" s="175">
        <f>Master_Data[[#This Row],[Imp. Level]]/SUMIF(Master_Data[Subject],Master_Data[[#This Row],[Subject]],Master_Data[Imp. Level])</f>
        <v>4.5454545454545456E-2</v>
      </c>
      <c r="AI73" s="157">
        <f>Master_Data[[#This Row],[Subjectwise weights]]*Master_Data[[#This Row],[Confidence Level]]</f>
        <v>9.0909090909090912E-2</v>
      </c>
      <c r="AJ73" s="158" t="str">
        <f>IF(AND(Master_Data[[#This Row],[Inst. EOC Ques.]]="D",Master_Data[[#This Row],[Class Test Book]]="D"),"D","U")</f>
        <v>U</v>
      </c>
      <c r="AK73" s="155" t="str">
        <f>IF(AND(Master_Data[[#This Row],[Inst. Online Portal]]="D",Master_Data[[#This Row],[Prac. Book]]="D",Master_Data[[#This Row],[Schweser Prac. Bk 1]]="D",Master_Data[[#This Row],[Schweser Prac. Bk 2]]="D"),"D","U")</f>
        <v>U</v>
      </c>
      <c r="AL73" s="270" t="str">
        <f>IF(AND(Master_Data[[#This Row],[Lectures]]="D",Master_Data[[#This Row],[Self Study]]="D"),Master_Data[[#This Row],[No. of Chapters]],"U")</f>
        <v>U</v>
      </c>
    </row>
    <row r="74" spans="2:38" ht="27" customHeight="1">
      <c r="B74" s="3">
        <v>66</v>
      </c>
      <c r="C74" s="183" t="str">
        <f ca="1">IF(Master_Data[[#This Row],[Column1]]="Done","",IF(Master_Data[[#This Row],[Column1]]=MIN(Master_Data[Column1]),"Current Week",CONCATENATE("Week ",Master_Data[[#This Row],[Column1]])))</f>
        <v>Week 12</v>
      </c>
      <c r="D74" s="3">
        <f ca="1">IF(Master_Data[[#This Row],[Cum. Undone hrs]]=0,"Done",ROUNDUP(Master_Data[[#This Row],[Cum. Undone hrs]]/Working!$C$8,0))</f>
        <v>12</v>
      </c>
      <c r="E74" s="3">
        <f ca="1">IF(OR(D74=D73,D74=D73+1),Master_Data[[#This Row],[Column1]],D74-1)</f>
        <v>12</v>
      </c>
      <c r="F74" s="15">
        <f>SUM($G$9:G74)</f>
        <v>11.535416666666663</v>
      </c>
      <c r="G74" s="26">
        <f>IF(Master_Data[[#This Row],[Lectures]]="D","",Master_Data[[#This Row],[Duration (hh:mm)]])</f>
        <v>6.5972222222222224E-2</v>
      </c>
      <c r="H74" s="2" t="s">
        <v>277</v>
      </c>
      <c r="I74" s="2">
        <v>88</v>
      </c>
      <c r="J74" s="2" t="s">
        <v>135</v>
      </c>
      <c r="K74" s="44" t="s">
        <v>203</v>
      </c>
      <c r="L74" s="273">
        <v>1</v>
      </c>
      <c r="M74" s="178">
        <v>7</v>
      </c>
      <c r="N74" s="43">
        <v>4</v>
      </c>
      <c r="O74" s="43">
        <v>1</v>
      </c>
      <c r="P74" s="43">
        <v>4</v>
      </c>
      <c r="Q74" s="43">
        <v>4</v>
      </c>
      <c r="R74" s="43">
        <v>4</v>
      </c>
      <c r="S74" s="43">
        <v>3</v>
      </c>
      <c r="T74" s="26">
        <v>6.5972222222222224E-2</v>
      </c>
      <c r="U74" s="42">
        <f>(SUM($T$9:T74)/$T$4)*100</f>
        <v>86.183459582857751</v>
      </c>
      <c r="V74" s="27" t="s">
        <v>6</v>
      </c>
      <c r="W74" s="27" t="s">
        <v>6</v>
      </c>
      <c r="X74" s="27" t="s">
        <v>6</v>
      </c>
      <c r="Y74" s="27" t="s">
        <v>6</v>
      </c>
      <c r="Z74" s="27" t="s">
        <v>6</v>
      </c>
      <c r="AA74" s="27" t="s">
        <v>6</v>
      </c>
      <c r="AB74" s="27" t="s">
        <v>6</v>
      </c>
      <c r="AC74" s="27" t="s">
        <v>6</v>
      </c>
      <c r="AD74" s="27" t="s">
        <v>6</v>
      </c>
      <c r="AE74" s="159">
        <v>3</v>
      </c>
      <c r="AF74" s="17"/>
      <c r="AG74" s="174">
        <f t="shared" ref="AG74:AG85" si="4">R74/SUM($R$9:$R$73)</f>
        <v>1.6E-2</v>
      </c>
      <c r="AH74" s="175">
        <f>Master_Data[[#This Row],[Imp. Level]]/SUMIF(Master_Data[Subject],Master_Data[[#This Row],[Subject]],Master_Data[Imp. Level])</f>
        <v>0.2</v>
      </c>
      <c r="AI74" s="157">
        <f>Master_Data[[#This Row],[Subjectwise weights]]*Master_Data[[#This Row],[Confidence Level]]</f>
        <v>0.60000000000000009</v>
      </c>
      <c r="AJ74" s="158" t="str">
        <f>IF(AND(Master_Data[[#This Row],[Inst. EOC Ques.]]="D",Master_Data[[#This Row],[Class Test Book]]="D"),"D","U")</f>
        <v>U</v>
      </c>
      <c r="AK74" s="155" t="str">
        <f>IF(AND(Master_Data[[#This Row],[Inst. Online Portal]]="D",Master_Data[[#This Row],[Prac. Book]]="D",Master_Data[[#This Row],[Schweser Prac. Bk 1]]="D",Master_Data[[#This Row],[Schweser Prac. Bk 2]]="D"),"D","U")</f>
        <v>U</v>
      </c>
      <c r="AL74" s="270" t="str">
        <f>IF(AND(Master_Data[[#This Row],[Lectures]]="D",Master_Data[[#This Row],[Self Study]]="D"),Master_Data[[#This Row],[No. of Chapters]],"U")</f>
        <v>U</v>
      </c>
    </row>
    <row r="75" spans="2:38" ht="27" customHeight="1">
      <c r="B75" s="3">
        <v>67</v>
      </c>
      <c r="C75" s="183" t="str">
        <f ca="1">IF(Master_Data[[#This Row],[Column1]]="Done","",IF(Master_Data[[#This Row],[Column1]]=MIN(Master_Data[Column1]),"Current Week",CONCATENATE("Week ",Master_Data[[#This Row],[Column1]])))</f>
        <v>Week 12</v>
      </c>
      <c r="D75" s="3">
        <f ca="1">IF(Master_Data[[#This Row],[Cum. Undone hrs]]=0,"Done",ROUNDUP(Master_Data[[#This Row],[Cum. Undone hrs]]/Working!$C$8,0))</f>
        <v>12</v>
      </c>
      <c r="E75" s="3">
        <f ca="1">IF(OR(D75=D74,D75=D74+1),Master_Data[[#This Row],[Column1]],D75-1)</f>
        <v>12</v>
      </c>
      <c r="F75" s="15">
        <f>SUM($G$9:G75)</f>
        <v>11.722916666666663</v>
      </c>
      <c r="G75" s="26">
        <f>IF(Master_Data[[#This Row],[Lectures]]="D","",Master_Data[[#This Row],[Duration (hh:mm)]])</f>
        <v>0.1875</v>
      </c>
      <c r="H75" s="2" t="s">
        <v>14</v>
      </c>
      <c r="I75" s="2" t="s">
        <v>235</v>
      </c>
      <c r="J75" s="2" t="s">
        <v>135</v>
      </c>
      <c r="K75" s="44" t="s">
        <v>200</v>
      </c>
      <c r="L75" s="273">
        <v>2</v>
      </c>
      <c r="M75" s="178">
        <v>9</v>
      </c>
      <c r="N75" s="151">
        <v>3</v>
      </c>
      <c r="O75" s="152">
        <v>2</v>
      </c>
      <c r="P75" s="152">
        <v>4</v>
      </c>
      <c r="Q75" s="152">
        <v>4</v>
      </c>
      <c r="R75" s="152">
        <v>4</v>
      </c>
      <c r="S75" s="153">
        <v>4</v>
      </c>
      <c r="T75" s="26">
        <v>0.1875</v>
      </c>
      <c r="U75" s="42">
        <f>(SUM($T$9:T75)/$T$4)*100</f>
        <v>87.584310470063315</v>
      </c>
      <c r="V75" s="27" t="s">
        <v>6</v>
      </c>
      <c r="W75" s="27" t="s">
        <v>6</v>
      </c>
      <c r="X75" s="27" t="s">
        <v>6</v>
      </c>
      <c r="Y75" s="27" t="s">
        <v>6</v>
      </c>
      <c r="Z75" s="27" t="s">
        <v>6</v>
      </c>
      <c r="AA75" s="27" t="s">
        <v>6</v>
      </c>
      <c r="AB75" s="27" t="s">
        <v>6</v>
      </c>
      <c r="AC75" s="27" t="s">
        <v>6</v>
      </c>
      <c r="AD75" s="27" t="s">
        <v>6</v>
      </c>
      <c r="AE75" s="159">
        <v>3</v>
      </c>
      <c r="AF75" s="17"/>
      <c r="AG75" s="174">
        <f t="shared" si="4"/>
        <v>1.6E-2</v>
      </c>
      <c r="AH75" s="175">
        <f>Master_Data[[#This Row],[Imp. Level]]/SUMIF(Master_Data[Subject],Master_Data[[#This Row],[Subject]],Master_Data[Imp. Level])</f>
        <v>0.13793103448275862</v>
      </c>
      <c r="AI75" s="157">
        <f>Master_Data[[#This Row],[Subjectwise weights]]*Master_Data[[#This Row],[Confidence Level]]</f>
        <v>0.41379310344827586</v>
      </c>
      <c r="AJ75" s="158" t="str">
        <f>IF(AND(Master_Data[[#This Row],[Inst. EOC Ques.]]="D",Master_Data[[#This Row],[Class Test Book]]="D"),"D","U")</f>
        <v>U</v>
      </c>
      <c r="AK75" s="155" t="str">
        <f>IF(AND(Master_Data[[#This Row],[Inst. Online Portal]]="D",Master_Data[[#This Row],[Prac. Book]]="D",Master_Data[[#This Row],[Schweser Prac. Bk 1]]="D",Master_Data[[#This Row],[Schweser Prac. Bk 2]]="D"),"D","U")</f>
        <v>U</v>
      </c>
      <c r="AL75" s="270" t="str">
        <f>IF(AND(Master_Data[[#This Row],[Lectures]]="D",Master_Data[[#This Row],[Self Study]]="D"),Master_Data[[#This Row],[No. of Chapters]],"U")</f>
        <v>U</v>
      </c>
    </row>
    <row r="76" spans="2:38" ht="27" customHeight="1">
      <c r="B76" s="3">
        <v>68</v>
      </c>
      <c r="C76" s="183" t="str">
        <f ca="1">IF(Master_Data[[#This Row],[Column1]]="Done","",IF(Master_Data[[#This Row],[Column1]]=MIN(Master_Data[Column1]),"Current Week",CONCATENATE("Week ",Master_Data[[#This Row],[Column1]])))</f>
        <v>Week 12</v>
      </c>
      <c r="D76" s="3">
        <f ca="1">IF(Master_Data[[#This Row],[Cum. Undone hrs]]=0,"Done",ROUNDUP(Master_Data[[#This Row],[Cum. Undone hrs]]/Working!$C$8,0))</f>
        <v>12</v>
      </c>
      <c r="E76" s="3">
        <f ca="1">IF(OR(D76=D75,D76=D75+1),Master_Data[[#This Row],[Column1]],D76-1)</f>
        <v>12</v>
      </c>
      <c r="F76" s="15">
        <f>SUM($G$9:G76)</f>
        <v>12.003472222222218</v>
      </c>
      <c r="G76" s="26">
        <f>IF(Master_Data[[#This Row],[Lectures]]="D","",Master_Data[[#This Row],[Duration (hh:mm)]])</f>
        <v>0.28055555555555556</v>
      </c>
      <c r="H76" s="2" t="s">
        <v>14</v>
      </c>
      <c r="I76" s="2" t="s">
        <v>236</v>
      </c>
      <c r="J76" s="2" t="s">
        <v>135</v>
      </c>
      <c r="K76" s="44" t="s">
        <v>15</v>
      </c>
      <c r="L76" s="273">
        <v>3</v>
      </c>
      <c r="M76" s="178">
        <v>14</v>
      </c>
      <c r="N76" s="151">
        <v>4</v>
      </c>
      <c r="O76" s="152">
        <v>2</v>
      </c>
      <c r="P76" s="152">
        <v>4</v>
      </c>
      <c r="Q76" s="152">
        <v>4</v>
      </c>
      <c r="R76" s="152">
        <v>3</v>
      </c>
      <c r="S76" s="153">
        <v>4</v>
      </c>
      <c r="T76" s="26">
        <v>0.28055555555555556</v>
      </c>
      <c r="U76" s="42">
        <f>(SUM($T$9:T76)/$T$4)*100</f>
        <v>89.680398464252377</v>
      </c>
      <c r="V76" s="27" t="s">
        <v>6</v>
      </c>
      <c r="W76" s="27" t="s">
        <v>6</v>
      </c>
      <c r="X76" s="27" t="s">
        <v>6</v>
      </c>
      <c r="Y76" s="27" t="s">
        <v>6</v>
      </c>
      <c r="Z76" s="27" t="s">
        <v>6</v>
      </c>
      <c r="AA76" s="27" t="s">
        <v>6</v>
      </c>
      <c r="AB76" s="27" t="s">
        <v>6</v>
      </c>
      <c r="AC76" s="27" t="s">
        <v>6</v>
      </c>
      <c r="AD76" s="27" t="s">
        <v>6</v>
      </c>
      <c r="AE76" s="159">
        <v>2</v>
      </c>
      <c r="AF76" s="17"/>
      <c r="AG76" s="174">
        <f t="shared" si="4"/>
        <v>1.2E-2</v>
      </c>
      <c r="AH76" s="175">
        <f>Master_Data[[#This Row],[Imp. Level]]/SUMIF(Master_Data[Subject],Master_Data[[#This Row],[Subject]],Master_Data[Imp. Level])</f>
        <v>0.10344827586206896</v>
      </c>
      <c r="AI76" s="157">
        <f>Master_Data[[#This Row],[Subjectwise weights]]*Master_Data[[#This Row],[Confidence Level]]</f>
        <v>0.20689655172413793</v>
      </c>
      <c r="AJ76" s="158" t="str">
        <f>IF(AND(Master_Data[[#This Row],[Inst. EOC Ques.]]="D",Master_Data[[#This Row],[Class Test Book]]="D"),"D","U")</f>
        <v>U</v>
      </c>
      <c r="AK76" s="155" t="str">
        <f>IF(AND(Master_Data[[#This Row],[Inst. Online Portal]]="D",Master_Data[[#This Row],[Prac. Book]]="D",Master_Data[[#This Row],[Schweser Prac. Bk 1]]="D",Master_Data[[#This Row],[Schweser Prac. Bk 2]]="D"),"D","U")</f>
        <v>U</v>
      </c>
      <c r="AL76" s="270" t="str">
        <f>IF(AND(Master_Data[[#This Row],[Lectures]]="D",Master_Data[[#This Row],[Self Study]]="D"),Master_Data[[#This Row],[No. of Chapters]],"U")</f>
        <v>U</v>
      </c>
    </row>
    <row r="77" spans="2:38" ht="27" customHeight="1">
      <c r="B77" s="3">
        <v>69</v>
      </c>
      <c r="C77" s="183" t="str">
        <f ca="1">IF(Master_Data[[#This Row],[Column1]]="Done","",IF(Master_Data[[#This Row],[Column1]]=MIN(Master_Data[Column1]),"Current Week",CONCATENATE("Week ",Master_Data[[#This Row],[Column1]])))</f>
        <v>Week 12</v>
      </c>
      <c r="D77" s="3">
        <f ca="1">IF(Master_Data[[#This Row],[Cum. Undone hrs]]=0,"Done",ROUNDUP(Master_Data[[#This Row],[Cum. Undone hrs]]/Working!$C$8,0))</f>
        <v>12</v>
      </c>
      <c r="E77" s="3">
        <f ca="1">IF(OR(D77=D76,D77=D76+1),Master_Data[[#This Row],[Column1]],D77-1)</f>
        <v>12</v>
      </c>
      <c r="F77" s="15">
        <f>SUM($G$9:G77)</f>
        <v>12.232638888888884</v>
      </c>
      <c r="G77" s="26">
        <f>IF(Master_Data[[#This Row],[Lectures]]="D","",Master_Data[[#This Row],[Duration (hh:mm)]])</f>
        <v>0.22916666666666666</v>
      </c>
      <c r="H77" s="2" t="s">
        <v>22</v>
      </c>
      <c r="I77" s="2">
        <v>44</v>
      </c>
      <c r="J77" s="2" t="s">
        <v>135</v>
      </c>
      <c r="K77" s="44" t="s">
        <v>213</v>
      </c>
      <c r="L77" s="273">
        <v>1</v>
      </c>
      <c r="M77" s="178">
        <v>5</v>
      </c>
      <c r="N77" s="151">
        <v>3</v>
      </c>
      <c r="O77" s="152">
        <v>1</v>
      </c>
      <c r="P77" s="152">
        <v>2</v>
      </c>
      <c r="Q77" s="152">
        <v>2</v>
      </c>
      <c r="R77" s="152">
        <v>4</v>
      </c>
      <c r="S77" s="153">
        <v>3</v>
      </c>
      <c r="T77" s="26">
        <v>0.22916666666666666</v>
      </c>
      <c r="U77" s="42">
        <f>(SUM($T$9:T77)/$T$4)*100</f>
        <v>91.392549548614724</v>
      </c>
      <c r="V77" s="27" t="s">
        <v>6</v>
      </c>
      <c r="W77" s="27" t="s">
        <v>6</v>
      </c>
      <c r="X77" s="27" t="s">
        <v>6</v>
      </c>
      <c r="Y77" s="27" t="s">
        <v>6</v>
      </c>
      <c r="Z77" s="27" t="s">
        <v>6</v>
      </c>
      <c r="AA77" s="27" t="s">
        <v>6</v>
      </c>
      <c r="AB77" s="27" t="s">
        <v>6</v>
      </c>
      <c r="AC77" s="27" t="s">
        <v>6</v>
      </c>
      <c r="AD77" s="27" t="s">
        <v>6</v>
      </c>
      <c r="AE77" s="159">
        <v>3</v>
      </c>
      <c r="AF77" s="17"/>
      <c r="AG77" s="174">
        <f t="shared" si="4"/>
        <v>1.6E-2</v>
      </c>
      <c r="AH77" s="175">
        <f>Master_Data[[#This Row],[Imp. Level]]/SUMIF(Master_Data[Subject],Master_Data[[#This Row],[Subject]],Master_Data[Imp. Level])</f>
        <v>0.12903225806451613</v>
      </c>
      <c r="AI77" s="157">
        <f>Master_Data[[#This Row],[Subjectwise weights]]*Master_Data[[#This Row],[Confidence Level]]</f>
        <v>0.38709677419354838</v>
      </c>
      <c r="AJ77" s="158" t="str">
        <f>IF(AND(Master_Data[[#This Row],[Inst. EOC Ques.]]="D",Master_Data[[#This Row],[Class Test Book]]="D"),"D","U")</f>
        <v>U</v>
      </c>
      <c r="AK77" s="155" t="str">
        <f>IF(AND(Master_Data[[#This Row],[Inst. Online Portal]]="D",Master_Data[[#This Row],[Prac. Book]]="D",Master_Data[[#This Row],[Schweser Prac. Bk 1]]="D",Master_Data[[#This Row],[Schweser Prac. Bk 2]]="D"),"D","U")</f>
        <v>U</v>
      </c>
      <c r="AL77" s="270" t="str">
        <f>IF(AND(Master_Data[[#This Row],[Lectures]]="D",Master_Data[[#This Row],[Self Study]]="D"),Master_Data[[#This Row],[No. of Chapters]],"U")</f>
        <v>U</v>
      </c>
    </row>
    <row r="78" spans="2:38" ht="27" customHeight="1">
      <c r="B78" s="3">
        <v>70</v>
      </c>
      <c r="C78" s="183" t="str">
        <f ca="1">IF(Master_Data[[#This Row],[Column1]]="Done","",IF(Master_Data[[#This Row],[Column1]]=MIN(Master_Data[Column1]),"Current Week",CONCATENATE("Week ",Master_Data[[#This Row],[Column1]])))</f>
        <v>Week 13</v>
      </c>
      <c r="D78" s="3">
        <f ca="1">IF(Master_Data[[#This Row],[Cum. Undone hrs]]=0,"Done",ROUNDUP(Master_Data[[#This Row],[Cum. Undone hrs]]/Working!$C$8,0))</f>
        <v>13</v>
      </c>
      <c r="E78" s="3">
        <f ca="1">IF(OR(D78=D77,D78=D77+1),Master_Data[[#This Row],[Column1]],D78-1)</f>
        <v>13</v>
      </c>
      <c r="F78" s="15">
        <f>SUM($G$9:G78)</f>
        <v>12.404166666666661</v>
      </c>
      <c r="G78" s="26">
        <f>IF(Master_Data[[#This Row],[Lectures]]="D","",Master_Data[[#This Row],[Duration (hh:mm)]])</f>
        <v>0.17152777777777775</v>
      </c>
      <c r="H78" s="2" t="s">
        <v>22</v>
      </c>
      <c r="I78" s="2">
        <v>43</v>
      </c>
      <c r="J78" s="2" t="s">
        <v>135</v>
      </c>
      <c r="K78" s="44" t="s">
        <v>255</v>
      </c>
      <c r="L78" s="273">
        <v>1</v>
      </c>
      <c r="M78" s="178">
        <v>5</v>
      </c>
      <c r="N78" s="151">
        <v>3</v>
      </c>
      <c r="O78" s="152">
        <v>3</v>
      </c>
      <c r="P78" s="152">
        <v>3</v>
      </c>
      <c r="Q78" s="152">
        <v>3</v>
      </c>
      <c r="R78" s="152">
        <v>4</v>
      </c>
      <c r="S78" s="153">
        <v>4</v>
      </c>
      <c r="T78" s="11">
        <v>0.17152777777777775</v>
      </c>
      <c r="U78" s="42">
        <f>(SUM($T$9:T78)/$T$4)*100</f>
        <v>92.674068693576857</v>
      </c>
      <c r="V78" s="27" t="s">
        <v>6</v>
      </c>
      <c r="W78" s="27" t="s">
        <v>6</v>
      </c>
      <c r="X78" s="27" t="s">
        <v>6</v>
      </c>
      <c r="Y78" s="27" t="s">
        <v>6</v>
      </c>
      <c r="Z78" s="27" t="s">
        <v>6</v>
      </c>
      <c r="AA78" s="27" t="s">
        <v>6</v>
      </c>
      <c r="AB78" s="27" t="s">
        <v>6</v>
      </c>
      <c r="AC78" s="27" t="s">
        <v>6</v>
      </c>
      <c r="AD78" s="27" t="s">
        <v>6</v>
      </c>
      <c r="AE78" s="159">
        <v>2</v>
      </c>
      <c r="AF78" s="17"/>
      <c r="AG78" s="174">
        <f t="shared" si="4"/>
        <v>1.6E-2</v>
      </c>
      <c r="AH78" s="175">
        <f>Master_Data[[#This Row],[Imp. Level]]/SUMIF(Master_Data[Subject],Master_Data[[#This Row],[Subject]],Master_Data[Imp. Level])</f>
        <v>0.12903225806451613</v>
      </c>
      <c r="AI78" s="157">
        <f>Master_Data[[#This Row],[Subjectwise weights]]*Master_Data[[#This Row],[Confidence Level]]</f>
        <v>0.25806451612903225</v>
      </c>
      <c r="AJ78" s="158" t="str">
        <f>IF(AND(Master_Data[[#This Row],[Inst. EOC Ques.]]="D",Master_Data[[#This Row],[Class Test Book]]="D"),"D","U")</f>
        <v>U</v>
      </c>
      <c r="AK78" s="155" t="str">
        <f>IF(AND(Master_Data[[#This Row],[Inst. Online Portal]]="D",Master_Data[[#This Row],[Prac. Book]]="D",Master_Data[[#This Row],[Schweser Prac. Bk 1]]="D",Master_Data[[#This Row],[Schweser Prac. Bk 2]]="D"),"D","U")</f>
        <v>U</v>
      </c>
      <c r="AL78" s="270" t="str">
        <f>IF(AND(Master_Data[[#This Row],[Lectures]]="D",Master_Data[[#This Row],[Self Study]]="D"),Master_Data[[#This Row],[No. of Chapters]],"U")</f>
        <v>U</v>
      </c>
    </row>
    <row r="79" spans="2:38" ht="27" customHeight="1">
      <c r="B79" s="3">
        <v>71</v>
      </c>
      <c r="C79" s="183" t="str">
        <f ca="1">IF(Master_Data[[#This Row],[Column1]]="Done","",IF(Master_Data[[#This Row],[Column1]]=MIN(Master_Data[Column1]),"Current Week",CONCATENATE("Week ",Master_Data[[#This Row],[Column1]])))</f>
        <v>Week 13</v>
      </c>
      <c r="D79" s="3">
        <f ca="1">IF(Master_Data[[#This Row],[Cum. Undone hrs]]=0,"Done",ROUNDUP(Master_Data[[#This Row],[Cum. Undone hrs]]/Working!$C$8,0))</f>
        <v>13</v>
      </c>
      <c r="E79" s="3">
        <f ca="1">IF(OR(D79=D78,D79=D78+1),Master_Data[[#This Row],[Column1]],D79-1)</f>
        <v>13</v>
      </c>
      <c r="F79" s="15">
        <f>SUM($G$9:G79)</f>
        <v>12.563888888888883</v>
      </c>
      <c r="G79" s="26">
        <f>IF(Master_Data[[#This Row],[Lectures]]="D","",Master_Data[[#This Row],[Duration (hh:mm)]])</f>
        <v>0.15972222222222224</v>
      </c>
      <c r="H79" s="2" t="s">
        <v>22</v>
      </c>
      <c r="I79" s="2">
        <v>45</v>
      </c>
      <c r="J79" s="2" t="s">
        <v>135</v>
      </c>
      <c r="K79" s="44" t="s">
        <v>256</v>
      </c>
      <c r="L79" s="273">
        <v>1</v>
      </c>
      <c r="M79" s="178">
        <v>5</v>
      </c>
      <c r="N79" s="151">
        <v>3</v>
      </c>
      <c r="O79" s="152">
        <v>2</v>
      </c>
      <c r="P79" s="152">
        <v>3</v>
      </c>
      <c r="Q79" s="152">
        <v>3</v>
      </c>
      <c r="R79" s="152">
        <v>4</v>
      </c>
      <c r="S79" s="153">
        <v>4</v>
      </c>
      <c r="T79" s="11">
        <v>0.15972222222222224</v>
      </c>
      <c r="U79" s="42">
        <f>(SUM($T$9:T79)/$T$4)*100</f>
        <v>93.867386116011204</v>
      </c>
      <c r="V79" s="27" t="s">
        <v>6</v>
      </c>
      <c r="W79" s="27" t="s">
        <v>6</v>
      </c>
      <c r="X79" s="27" t="s">
        <v>6</v>
      </c>
      <c r="Y79" s="27" t="s">
        <v>6</v>
      </c>
      <c r="Z79" s="27" t="s">
        <v>6</v>
      </c>
      <c r="AA79" s="27" t="s">
        <v>6</v>
      </c>
      <c r="AB79" s="27" t="s">
        <v>6</v>
      </c>
      <c r="AC79" s="27" t="s">
        <v>6</v>
      </c>
      <c r="AD79" s="27" t="s">
        <v>6</v>
      </c>
      <c r="AE79" s="159">
        <v>2</v>
      </c>
      <c r="AF79" s="17"/>
      <c r="AG79" s="174">
        <f t="shared" si="4"/>
        <v>1.6E-2</v>
      </c>
      <c r="AH79" s="176">
        <f>Master_Data[[#This Row],[Imp. Level]]/SUMIF(Master_Data[Subject],Master_Data[[#This Row],[Subject]],Master_Data[Imp. Level])</f>
        <v>0.12903225806451613</v>
      </c>
      <c r="AI79" s="177">
        <f>Master_Data[[#This Row],[Subjectwise weights]]*Master_Data[[#This Row],[Confidence Level]]</f>
        <v>0.25806451612903225</v>
      </c>
      <c r="AJ79" s="155" t="str">
        <f>IF(AND(Master_Data[[#This Row],[Inst. EOC Ques.]]="D",Master_Data[[#This Row],[Class Test Book]]="D"),"D","U")</f>
        <v>U</v>
      </c>
      <c r="AK79" s="155" t="str">
        <f>IF(AND(Master_Data[[#This Row],[Inst. Online Portal]]="D",Master_Data[[#This Row],[Prac. Book]]="D",Master_Data[[#This Row],[Schweser Prac. Bk 1]]="D",Master_Data[[#This Row],[Schweser Prac. Bk 2]]="D"),"D","U")</f>
        <v>U</v>
      </c>
      <c r="AL79" s="270" t="str">
        <f>IF(AND(Master_Data[[#This Row],[Lectures]]="D",Master_Data[[#This Row],[Self Study]]="D"),Master_Data[[#This Row],[No. of Chapters]],"U")</f>
        <v>U</v>
      </c>
    </row>
    <row r="80" spans="2:38" ht="27" customHeight="1">
      <c r="B80" s="3">
        <v>72</v>
      </c>
      <c r="C80" s="183" t="str">
        <f ca="1">IF(Master_Data[[#This Row],[Column1]]="Done","",IF(Master_Data[[#This Row],[Column1]]=MIN(Master_Data[Column1]),"Current Week",CONCATENATE("Week ",Master_Data[[#This Row],[Column1]])))</f>
        <v>Week 13</v>
      </c>
      <c r="D80" s="3">
        <f ca="1">IF(Master_Data[[#This Row],[Cum. Undone hrs]]=0,"Done",ROUNDUP(Master_Data[[#This Row],[Cum. Undone hrs]]/Working!$C$8,0))</f>
        <v>13</v>
      </c>
      <c r="E80" s="3">
        <f ca="1">IF(OR(D80=D79,D80=D79+1),Master_Data[[#This Row],[Column1]],D80-1)</f>
        <v>13</v>
      </c>
      <c r="F80" s="15">
        <f>SUM($G$9:G80)</f>
        <v>12.872916666666661</v>
      </c>
      <c r="G80" s="26">
        <f>IF(Master_Data[[#This Row],[Lectures]]="D","",Master_Data[[#This Row],[Duration (hh:mm)]])</f>
        <v>0.30902777777777779</v>
      </c>
      <c r="H80" s="2" t="s">
        <v>22</v>
      </c>
      <c r="I80" s="2">
        <v>46</v>
      </c>
      <c r="J80" s="2" t="s">
        <v>135</v>
      </c>
      <c r="K80" s="44" t="s">
        <v>257</v>
      </c>
      <c r="L80" s="273">
        <v>1</v>
      </c>
      <c r="M80" s="178">
        <v>13</v>
      </c>
      <c r="N80" s="151">
        <v>5</v>
      </c>
      <c r="O80" s="152">
        <v>4</v>
      </c>
      <c r="P80" s="152">
        <v>4</v>
      </c>
      <c r="Q80" s="152">
        <v>4</v>
      </c>
      <c r="R80" s="152">
        <v>5</v>
      </c>
      <c r="S80" s="153">
        <v>4</v>
      </c>
      <c r="T80" s="179">
        <v>0.30902777777777779</v>
      </c>
      <c r="U80" s="42">
        <f>(SUM($T$9:T80)/$T$4)*100</f>
        <v>96.176195911590753</v>
      </c>
      <c r="V80" s="27" t="s">
        <v>6</v>
      </c>
      <c r="W80" s="27" t="s">
        <v>6</v>
      </c>
      <c r="X80" s="27" t="s">
        <v>6</v>
      </c>
      <c r="Y80" s="27" t="s">
        <v>6</v>
      </c>
      <c r="Z80" s="27" t="s">
        <v>6</v>
      </c>
      <c r="AA80" s="27" t="s">
        <v>6</v>
      </c>
      <c r="AB80" s="27" t="s">
        <v>6</v>
      </c>
      <c r="AC80" s="27" t="s">
        <v>6</v>
      </c>
      <c r="AD80" s="27" t="s">
        <v>6</v>
      </c>
      <c r="AE80" s="159">
        <v>2</v>
      </c>
      <c r="AF80" s="17"/>
      <c r="AG80" s="174">
        <f t="shared" si="4"/>
        <v>0.02</v>
      </c>
      <c r="AH80" s="175">
        <f>Master_Data[[#This Row],[Imp. Level]]/SUMIF(Master_Data[Subject],Master_Data[[#This Row],[Subject]],Master_Data[Imp. Level])</f>
        <v>0.16129032258064516</v>
      </c>
      <c r="AI80" s="157">
        <f>Master_Data[[#This Row],[Subjectwise weights]]*Master_Data[[#This Row],[Confidence Level]]</f>
        <v>0.32258064516129031</v>
      </c>
      <c r="AJ80" s="158" t="str">
        <f>IF(AND(Master_Data[[#This Row],[Inst. EOC Ques.]]="D",Master_Data[[#This Row],[Class Test Book]]="D"),"D","U")</f>
        <v>U</v>
      </c>
      <c r="AK80" s="155" t="str">
        <f>IF(AND(Master_Data[[#This Row],[Inst. Online Portal]]="D",Master_Data[[#This Row],[Prac. Book]]="D",Master_Data[[#This Row],[Schweser Prac. Bk 1]]="D",Master_Data[[#This Row],[Schweser Prac. Bk 2]]="D"),"D","U")</f>
        <v>U</v>
      </c>
      <c r="AL80" s="270" t="str">
        <f>IF(AND(Master_Data[[#This Row],[Lectures]]="D",Master_Data[[#This Row],[Self Study]]="D"),Master_Data[[#This Row],[No. of Chapters]],"U")</f>
        <v>U</v>
      </c>
    </row>
    <row r="81" spans="2:38" ht="27" customHeight="1">
      <c r="B81" s="3">
        <v>73</v>
      </c>
      <c r="C81" s="183" t="str">
        <f ca="1">IF(Master_Data[[#This Row],[Column1]]="Done","",IF(Master_Data[[#This Row],[Column1]]=MIN(Master_Data[Column1]),"Current Week",CONCATENATE("Week ",Master_Data[[#This Row],[Column1]])))</f>
        <v>Week 13</v>
      </c>
      <c r="D81" s="3">
        <f ca="1">IF(Master_Data[[#This Row],[Cum. Undone hrs]]=0,"Done",ROUNDUP(Master_Data[[#This Row],[Cum. Undone hrs]]/Working!$C$8,0))</f>
        <v>13</v>
      </c>
      <c r="E81" s="3">
        <f ca="1">IF(OR(D81=D80,D81=D80+1),Master_Data[[#This Row],[Column1]],D81-1)</f>
        <v>13</v>
      </c>
      <c r="F81" s="15">
        <f>SUM($G$9:G81)</f>
        <v>13.079861111111105</v>
      </c>
      <c r="G81" s="26">
        <f>IF(Master_Data[[#This Row],[Lectures]]="D","",Master_Data[[#This Row],[Duration (hh:mm)]])</f>
        <v>0.20694444444444446</v>
      </c>
      <c r="H81" s="2" t="s">
        <v>22</v>
      </c>
      <c r="I81" s="2">
        <v>39</v>
      </c>
      <c r="J81" s="2" t="s">
        <v>135</v>
      </c>
      <c r="K81" s="44" t="s">
        <v>212</v>
      </c>
      <c r="L81" s="273">
        <v>1</v>
      </c>
      <c r="M81" s="178">
        <v>12</v>
      </c>
      <c r="N81" s="151">
        <v>4</v>
      </c>
      <c r="O81" s="152">
        <v>2</v>
      </c>
      <c r="P81" s="152">
        <v>2</v>
      </c>
      <c r="Q81" s="152">
        <v>2</v>
      </c>
      <c r="R81" s="152">
        <v>3</v>
      </c>
      <c r="S81" s="153">
        <v>4</v>
      </c>
      <c r="T81" s="26">
        <v>0.20694444444444446</v>
      </c>
      <c r="U81" s="42">
        <f>(SUM($T$9:T81)/$T$4)*100</f>
        <v>97.722320224136155</v>
      </c>
      <c r="V81" s="27" t="s">
        <v>6</v>
      </c>
      <c r="W81" s="27" t="s">
        <v>6</v>
      </c>
      <c r="X81" s="27" t="s">
        <v>6</v>
      </c>
      <c r="Y81" s="27" t="s">
        <v>6</v>
      </c>
      <c r="Z81" s="27" t="s">
        <v>6</v>
      </c>
      <c r="AA81" s="27" t="s">
        <v>6</v>
      </c>
      <c r="AB81" s="27" t="s">
        <v>6</v>
      </c>
      <c r="AC81" s="27" t="s">
        <v>6</v>
      </c>
      <c r="AD81" s="27" t="s">
        <v>6</v>
      </c>
      <c r="AE81" s="159">
        <v>3</v>
      </c>
      <c r="AF81" s="17"/>
      <c r="AG81" s="174">
        <f t="shared" si="4"/>
        <v>1.2E-2</v>
      </c>
      <c r="AH81" s="175">
        <f>Master_Data[[#This Row],[Imp. Level]]/SUMIF(Master_Data[Subject],Master_Data[[#This Row],[Subject]],Master_Data[Imp. Level])</f>
        <v>9.6774193548387094E-2</v>
      </c>
      <c r="AI81" s="157">
        <f>Master_Data[[#This Row],[Subjectwise weights]]*Master_Data[[#This Row],[Confidence Level]]</f>
        <v>0.29032258064516125</v>
      </c>
      <c r="AJ81" s="158" t="str">
        <f>IF(AND(Master_Data[[#This Row],[Inst. EOC Ques.]]="D",Master_Data[[#This Row],[Class Test Book]]="D"),"D","U")</f>
        <v>U</v>
      </c>
      <c r="AK81" s="155" t="str">
        <f>IF(AND(Master_Data[[#This Row],[Inst. Online Portal]]="D",Master_Data[[#This Row],[Prac. Book]]="D",Master_Data[[#This Row],[Schweser Prac. Bk 1]]="D",Master_Data[[#This Row],[Schweser Prac. Bk 2]]="D"),"D","U")</f>
        <v>U</v>
      </c>
      <c r="AL81" s="270" t="str">
        <f>IF(AND(Master_Data[[#This Row],[Lectures]]="D",Master_Data[[#This Row],[Self Study]]="D"),Master_Data[[#This Row],[No. of Chapters]],"U")</f>
        <v>U</v>
      </c>
    </row>
    <row r="82" spans="2:38" ht="27" customHeight="1">
      <c r="B82" s="3">
        <v>74</v>
      </c>
      <c r="C82" s="183" t="str">
        <f ca="1">IF(Master_Data[[#This Row],[Column1]]="Done","",IF(Master_Data[[#This Row],[Column1]]=MIN(Master_Data[Column1]),"Current Week",CONCATENATE("Week ",Master_Data[[#This Row],[Column1]])))</f>
        <v>Week 13</v>
      </c>
      <c r="D82" s="3">
        <f ca="1">IF(Master_Data[[#This Row],[Cum. Undone hrs]]=0,"Done",ROUNDUP(Master_Data[[#This Row],[Cum. Undone hrs]]/Working!$C$8,0))</f>
        <v>13</v>
      </c>
      <c r="E82" s="3">
        <f ca="1">IF(OR(D82=D81,D82=D81+1),Master_Data[[#This Row],[Column1]],D82-1)</f>
        <v>13</v>
      </c>
      <c r="F82" s="15">
        <f>SUM($G$9:G82)</f>
        <v>13.166666666666661</v>
      </c>
      <c r="G82" s="26">
        <f>IF(Master_Data[[#This Row],[Lectures]]="D","",Master_Data[[#This Row],[Duration (hh:mm)]])</f>
        <v>8.6805555555555566E-2</v>
      </c>
      <c r="H82" s="2" t="s">
        <v>22</v>
      </c>
      <c r="I82" s="2">
        <v>42</v>
      </c>
      <c r="J82" s="2" t="s">
        <v>135</v>
      </c>
      <c r="K82" s="44" t="s">
        <v>24</v>
      </c>
      <c r="L82" s="273">
        <v>1</v>
      </c>
      <c r="M82" s="178">
        <v>8</v>
      </c>
      <c r="N82" s="43">
        <v>2</v>
      </c>
      <c r="O82" s="43">
        <v>1</v>
      </c>
      <c r="P82" s="43">
        <v>2</v>
      </c>
      <c r="Q82" s="43">
        <v>1</v>
      </c>
      <c r="R82" s="43">
        <v>3</v>
      </c>
      <c r="S82" s="43">
        <v>4</v>
      </c>
      <c r="T82" s="179">
        <v>8.6805555555555566E-2</v>
      </c>
      <c r="U82" s="42">
        <f>(SUM($T$9:T82)/$T$4)*100</f>
        <v>98.370862301546126</v>
      </c>
      <c r="V82" s="27" t="s">
        <v>6</v>
      </c>
      <c r="W82" s="27" t="s">
        <v>6</v>
      </c>
      <c r="X82" s="27" t="s">
        <v>6</v>
      </c>
      <c r="Y82" s="27" t="s">
        <v>6</v>
      </c>
      <c r="Z82" s="27" t="s">
        <v>6</v>
      </c>
      <c r="AA82" s="27" t="s">
        <v>6</v>
      </c>
      <c r="AB82" s="27" t="s">
        <v>6</v>
      </c>
      <c r="AC82" s="27" t="s">
        <v>6</v>
      </c>
      <c r="AD82" s="27" t="s">
        <v>6</v>
      </c>
      <c r="AE82" s="159">
        <v>2</v>
      </c>
      <c r="AF82" s="17"/>
      <c r="AG82" s="174">
        <f t="shared" si="4"/>
        <v>1.2E-2</v>
      </c>
      <c r="AH82" s="175">
        <f>Master_Data[[#This Row],[Imp. Level]]/SUMIF(Master_Data[Subject],Master_Data[[#This Row],[Subject]],Master_Data[Imp. Level])</f>
        <v>9.6774193548387094E-2</v>
      </c>
      <c r="AI82" s="157">
        <f>Master_Data[[#This Row],[Subjectwise weights]]*Master_Data[[#This Row],[Confidence Level]]</f>
        <v>0.19354838709677419</v>
      </c>
      <c r="AJ82" s="158" t="str">
        <f>IF(AND(Master_Data[[#This Row],[Inst. EOC Ques.]]="D",Master_Data[[#This Row],[Class Test Book]]="D"),"D","U")</f>
        <v>U</v>
      </c>
      <c r="AK82" s="155" t="str">
        <f>IF(AND(Master_Data[[#This Row],[Inst. Online Portal]]="D",Master_Data[[#This Row],[Prac. Book]]="D",Master_Data[[#This Row],[Schweser Prac. Bk 1]]="D",Master_Data[[#This Row],[Schweser Prac. Bk 2]]="D"),"D","U")</f>
        <v>U</v>
      </c>
      <c r="AL82" s="270" t="str">
        <f>IF(AND(Master_Data[[#This Row],[Lectures]]="D",Master_Data[[#This Row],[Self Study]]="D"),Master_Data[[#This Row],[No. of Chapters]],"U")</f>
        <v>U</v>
      </c>
    </row>
    <row r="83" spans="2:38" ht="27" customHeight="1">
      <c r="B83" s="3">
        <v>75</v>
      </c>
      <c r="C83" s="183" t="str">
        <f ca="1">IF(Master_Data[[#This Row],[Column1]]="Done","",IF(Master_Data[[#This Row],[Column1]]=MIN(Master_Data[Column1]),"Current Week",CONCATENATE("Week ",Master_Data[[#This Row],[Column1]])))</f>
        <v>Week 13</v>
      </c>
      <c r="D83" s="3">
        <f ca="1">IF(Master_Data[[#This Row],[Cum. Undone hrs]]=0,"Done",ROUNDUP(Master_Data[[#This Row],[Cum. Undone hrs]]/Working!$C$8,0))</f>
        <v>13</v>
      </c>
      <c r="E83" s="3">
        <f ca="1">IF(OR(D83=D82,D83=D82+1),Master_Data[[#This Row],[Column1]],D83-1)</f>
        <v>13</v>
      </c>
      <c r="F83" s="15">
        <f>SUM($G$9:G83)</f>
        <v>13.269444444444439</v>
      </c>
      <c r="G83" s="26">
        <f>IF(Master_Data[[#This Row],[Lectures]]="D","",Master_Data[[#This Row],[Duration (hh:mm)]])</f>
        <v>0.10277777777777779</v>
      </c>
      <c r="H83" s="2" t="s">
        <v>22</v>
      </c>
      <c r="I83" s="2">
        <v>40</v>
      </c>
      <c r="J83" s="2" t="s">
        <v>135</v>
      </c>
      <c r="K83" s="44" t="s">
        <v>131</v>
      </c>
      <c r="L83" s="273">
        <v>1</v>
      </c>
      <c r="M83" s="178">
        <v>11</v>
      </c>
      <c r="N83" s="43">
        <v>3</v>
      </c>
      <c r="O83" s="43">
        <v>4</v>
      </c>
      <c r="P83" s="43">
        <v>4</v>
      </c>
      <c r="Q83" s="43">
        <v>4</v>
      </c>
      <c r="R83" s="43">
        <v>4</v>
      </c>
      <c r="S83" s="43">
        <v>4</v>
      </c>
      <c r="T83" s="26">
        <v>0.10277777777777779</v>
      </c>
      <c r="U83" s="42">
        <f>(SUM($T$9:T83)/$T$4)*100</f>
        <v>99.138736121199543</v>
      </c>
      <c r="V83" s="27" t="s">
        <v>6</v>
      </c>
      <c r="W83" s="27" t="s">
        <v>6</v>
      </c>
      <c r="X83" s="27" t="s">
        <v>6</v>
      </c>
      <c r="Y83" s="27" t="s">
        <v>6</v>
      </c>
      <c r="Z83" s="27" t="s">
        <v>6</v>
      </c>
      <c r="AA83" s="27" t="s">
        <v>6</v>
      </c>
      <c r="AB83" s="27" t="s">
        <v>6</v>
      </c>
      <c r="AC83" s="27" t="s">
        <v>6</v>
      </c>
      <c r="AD83" s="27" t="s">
        <v>6</v>
      </c>
      <c r="AE83" s="159">
        <v>2</v>
      </c>
      <c r="AF83" s="17"/>
      <c r="AG83" s="174">
        <f t="shared" si="4"/>
        <v>1.6E-2</v>
      </c>
      <c r="AH83" s="175">
        <f>Master_Data[[#This Row],[Imp. Level]]/SUMIF(Master_Data[Subject],Master_Data[[#This Row],[Subject]],Master_Data[Imp. Level])</f>
        <v>0.12903225806451613</v>
      </c>
      <c r="AI83" s="157">
        <f>Master_Data[[#This Row],[Subjectwise weights]]*Master_Data[[#This Row],[Confidence Level]]</f>
        <v>0.25806451612903225</v>
      </c>
      <c r="AJ83" s="158" t="str">
        <f>IF(AND(Master_Data[[#This Row],[Inst. EOC Ques.]]="D",Master_Data[[#This Row],[Class Test Book]]="D"),"D","U")</f>
        <v>U</v>
      </c>
      <c r="AK83" s="155" t="str">
        <f>IF(AND(Master_Data[[#This Row],[Inst. Online Portal]]="D",Master_Data[[#This Row],[Prac. Book]]="D",Master_Data[[#This Row],[Schweser Prac. Bk 1]]="D",Master_Data[[#This Row],[Schweser Prac. Bk 2]]="D"),"D","U")</f>
        <v>U</v>
      </c>
      <c r="AL83" s="270" t="str">
        <f>IF(AND(Master_Data[[#This Row],[Lectures]]="D",Master_Data[[#This Row],[Self Study]]="D"),Master_Data[[#This Row],[No. of Chapters]],"U")</f>
        <v>U</v>
      </c>
    </row>
    <row r="84" spans="2:38" ht="27" customHeight="1">
      <c r="B84" s="3">
        <v>76</v>
      </c>
      <c r="C84" s="183" t="str">
        <f ca="1">IF(Master_Data[[#This Row],[Column1]]="Done","",IF(Master_Data[[#This Row],[Column1]]=MIN(Master_Data[Column1]),"Current Week",CONCATENATE("Week ",Master_Data[[#This Row],[Column1]])))</f>
        <v>Week 13</v>
      </c>
      <c r="D84" s="3">
        <f ca="1">IF(Master_Data[[#This Row],[Cum. Undone hrs]]=0,"Done",ROUNDUP(Master_Data[[#This Row],[Cum. Undone hrs]]/Working!$C$8,0))</f>
        <v>13</v>
      </c>
      <c r="E84" s="3">
        <f ca="1">IF(OR(D84=D83,D84=D83+1),Master_Data[[#This Row],[Column1]],D84-1)</f>
        <v>13</v>
      </c>
      <c r="F84" s="15">
        <f>SUM($G$9:G84)</f>
        <v>13.383333333333328</v>
      </c>
      <c r="G84" s="26">
        <f>IF(Master_Data[[#This Row],[Lectures]]="D","",Master_Data[[#This Row],[Duration (hh:mm)]])</f>
        <v>0.11388888888888889</v>
      </c>
      <c r="H84" s="2" t="s">
        <v>22</v>
      </c>
      <c r="I84" s="2">
        <v>41</v>
      </c>
      <c r="J84" s="2" t="s">
        <v>135</v>
      </c>
      <c r="K84" s="44" t="s">
        <v>23</v>
      </c>
      <c r="L84" s="273">
        <v>1</v>
      </c>
      <c r="M84" s="178">
        <v>7</v>
      </c>
      <c r="N84" s="151">
        <v>2</v>
      </c>
      <c r="O84" s="152">
        <v>1</v>
      </c>
      <c r="P84" s="152">
        <v>4</v>
      </c>
      <c r="Q84" s="152">
        <v>3</v>
      </c>
      <c r="R84" s="152">
        <v>4</v>
      </c>
      <c r="S84" s="153">
        <v>4</v>
      </c>
      <c r="T84" s="26">
        <v>0.11388888888888889</v>
      </c>
      <c r="U84" s="42">
        <f>(SUM($T$9:T84)/$T$4)*100</f>
        <v>99.989623326761446</v>
      </c>
      <c r="V84" s="27" t="s">
        <v>6</v>
      </c>
      <c r="W84" s="27" t="s">
        <v>6</v>
      </c>
      <c r="X84" s="27" t="s">
        <v>6</v>
      </c>
      <c r="Y84" s="27" t="s">
        <v>6</v>
      </c>
      <c r="Z84" s="27" t="s">
        <v>6</v>
      </c>
      <c r="AA84" s="27" t="s">
        <v>6</v>
      </c>
      <c r="AB84" s="27" t="s">
        <v>6</v>
      </c>
      <c r="AC84" s="27" t="s">
        <v>6</v>
      </c>
      <c r="AD84" s="27" t="s">
        <v>6</v>
      </c>
      <c r="AE84" s="159">
        <v>3</v>
      </c>
      <c r="AF84" s="17"/>
      <c r="AG84" s="174">
        <f t="shared" si="4"/>
        <v>1.6E-2</v>
      </c>
      <c r="AH84" s="175">
        <f>Master_Data[[#This Row],[Imp. Level]]/SUMIF(Master_Data[Subject],Master_Data[[#This Row],[Subject]],Master_Data[Imp. Level])</f>
        <v>0.12903225806451613</v>
      </c>
      <c r="AI84" s="157">
        <f>Master_Data[[#This Row],[Subjectwise weights]]*Master_Data[[#This Row],[Confidence Level]]</f>
        <v>0.38709677419354838</v>
      </c>
      <c r="AJ84" s="158" t="str">
        <f>IF(AND(Master_Data[[#This Row],[Inst. EOC Ques.]]="D",Master_Data[[#This Row],[Class Test Book]]="D"),"D","U")</f>
        <v>U</v>
      </c>
      <c r="AK84" s="155" t="str">
        <f>IF(AND(Master_Data[[#This Row],[Inst. Online Portal]]="D",Master_Data[[#This Row],[Prac. Book]]="D",Master_Data[[#This Row],[Schweser Prac. Bk 1]]="D",Master_Data[[#This Row],[Schweser Prac. Bk 2]]="D"),"D","U")</f>
        <v>U</v>
      </c>
      <c r="AL84" s="270" t="str">
        <f>IF(AND(Master_Data[[#This Row],[Lectures]]="D",Master_Data[[#This Row],[Self Study]]="D"),Master_Data[[#This Row],[No. of Chapters]],"U")</f>
        <v>U</v>
      </c>
    </row>
    <row r="85" spans="2:38" ht="27" customHeight="1">
      <c r="B85" s="3">
        <v>77</v>
      </c>
      <c r="C85" s="183" t="str">
        <f ca="1">IF(Master_Data[[#This Row],[Column1]]="Done","",IF(Master_Data[[#This Row],[Column1]]=MIN(Master_Data[Column1]),"Current Week",CONCATENATE("Week ",Master_Data[[#This Row],[Column1]])))</f>
        <v>Week 13</v>
      </c>
      <c r="D85" s="3">
        <f ca="1">IF(Master_Data[[#This Row],[Cum. Undone hrs]]=0,"Done",ROUNDUP(Master_Data[[#This Row],[Cum. Undone hrs]]/Working!$C$8,0))</f>
        <v>13</v>
      </c>
      <c r="E85" s="3">
        <f ca="1">IF(OR(D85=D84,D85=D84+1),Master_Data[[#This Row],[Column1]],D85-1)</f>
        <v>13</v>
      </c>
      <c r="F85" s="15">
        <f>SUM($G$9:G85)</f>
        <v>13.384722222222216</v>
      </c>
      <c r="G85" s="26">
        <f>IF(Master_Data[[#This Row],[Lectures]]="D","",Master_Data[[#This Row],[Duration (hh:mm)]])</f>
        <v>1.3888888888888889E-3</v>
      </c>
      <c r="H85" s="2" t="s">
        <v>9</v>
      </c>
      <c r="I85" s="2">
        <v>2</v>
      </c>
      <c r="J85" s="2" t="s">
        <v>135</v>
      </c>
      <c r="K85" s="44" t="s">
        <v>195</v>
      </c>
      <c r="L85" s="273">
        <v>1</v>
      </c>
      <c r="M85" s="178">
        <v>3</v>
      </c>
      <c r="N85" s="151">
        <v>4</v>
      </c>
      <c r="O85" s="152">
        <v>5</v>
      </c>
      <c r="P85" s="152">
        <v>4</v>
      </c>
      <c r="Q85" s="152">
        <v>5</v>
      </c>
      <c r="R85" s="152">
        <v>5</v>
      </c>
      <c r="S85" s="153">
        <v>4</v>
      </c>
      <c r="T85" s="11">
        <v>1.3888888888888889E-3</v>
      </c>
      <c r="U85" s="42">
        <f>(SUM($T$9:T85)/$T$4)*100</f>
        <v>100</v>
      </c>
      <c r="V85" s="27" t="s">
        <v>6</v>
      </c>
      <c r="W85" s="27" t="s">
        <v>6</v>
      </c>
      <c r="X85" s="27" t="s">
        <v>6</v>
      </c>
      <c r="Y85" s="27" t="s">
        <v>6</v>
      </c>
      <c r="Z85" s="27" t="s">
        <v>6</v>
      </c>
      <c r="AA85" s="27" t="s">
        <v>6</v>
      </c>
      <c r="AB85" s="27" t="s">
        <v>6</v>
      </c>
      <c r="AC85" s="27" t="s">
        <v>6</v>
      </c>
      <c r="AD85" s="27" t="s">
        <v>6</v>
      </c>
      <c r="AE85" s="159">
        <v>2</v>
      </c>
      <c r="AF85" s="17"/>
      <c r="AG85" s="174">
        <f t="shared" si="4"/>
        <v>0.02</v>
      </c>
      <c r="AH85" s="175">
        <f>Master_Data[[#This Row],[Imp. Level]]/SUMIF(Master_Data[Subject],Master_Data[[#This Row],[Subject]],Master_Data[Imp. Level])</f>
        <v>0.11363636363636363</v>
      </c>
      <c r="AI85" s="157">
        <f>Master_Data[[#This Row],[Subjectwise weights]]*Master_Data[[#This Row],[Confidence Level]]</f>
        <v>0.22727272727272727</v>
      </c>
      <c r="AJ85" s="158" t="str">
        <f>IF(AND(Master_Data[[#This Row],[Inst. EOC Ques.]]="D",Master_Data[[#This Row],[Class Test Book]]="D"),"D","U")</f>
        <v>U</v>
      </c>
      <c r="AK85" s="155" t="str">
        <f>IF(AND(Master_Data[[#This Row],[Inst. Online Portal]]="D",Master_Data[[#This Row],[Prac. Book]]="D",Master_Data[[#This Row],[Schweser Prac. Bk 1]]="D",Master_Data[[#This Row],[Schweser Prac. Bk 2]]="D"),"D","U")</f>
        <v>U</v>
      </c>
      <c r="AL85" s="270" t="str">
        <f>IF(AND(Master_Data[[#This Row],[Lectures]]="D",Master_Data[[#This Row],[Self Study]]="D"),Master_Data[[#This Row],[No. of Chapters]],"U")</f>
        <v>U</v>
      </c>
    </row>
  </sheetData>
  <sheetProtection algorithmName="SHA-512" hashValue="GxCov4lrLkvm8aib8ZWYpj2VEUXB8yxpdVfvIc8jk340bADHiCldmkY0JGMF064APyVRcg74sx3y8wSKec4Reg==" saltValue="2vR7rL4pIcI+ie1WdKxFXA==" spinCount="100000" sheet="1" selectLockedCells="1"/>
  <mergeCells count="3">
    <mergeCell ref="B4:Q5"/>
    <mergeCell ref="R4:S4"/>
    <mergeCell ref="R5:S5"/>
  </mergeCells>
  <phoneticPr fontId="31" type="noConversion"/>
  <conditionalFormatting sqref="C9:C85">
    <cfRule type="containsText" dxfId="27" priority="6" operator="containsText" text="Current Week">
      <formula>NOT(ISERROR(SEARCH("Current Week",C9)))</formula>
    </cfRule>
  </conditionalFormatting>
  <conditionalFormatting sqref="K9:L85">
    <cfRule type="expression" dxfId="26" priority="30">
      <formula>$J9="changes"</formula>
    </cfRule>
    <cfRule type="expression" dxfId="25" priority="31">
      <formula>$J9="new"</formula>
    </cfRule>
  </conditionalFormatting>
  <conditionalFormatting sqref="M9:M85">
    <cfRule type="colorScale" priority="205">
      <colorScale>
        <cfvo type="min"/>
        <cfvo type="max"/>
        <color theme="2" tint="-9.9978637043366805E-2"/>
        <color theme="2" tint="-0.749992370372631"/>
      </colorScale>
    </cfRule>
  </conditionalFormatting>
  <conditionalFormatting sqref="N9:S85">
    <cfRule type="colorScale" priority="206">
      <colorScale>
        <cfvo type="min"/>
        <cfvo type="max"/>
        <color theme="0"/>
        <color theme="0" tint="-0.14999847407452621"/>
      </colorScale>
    </cfRule>
  </conditionalFormatting>
  <conditionalFormatting sqref="T4:T5">
    <cfRule type="dataBar" priority="16">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85">
    <cfRule type="colorScale" priority="207">
      <colorScale>
        <cfvo type="min"/>
        <cfvo type="max"/>
        <color theme="0"/>
        <color theme="7" tint="0.39997558519241921"/>
      </colorScale>
    </cfRule>
  </conditionalFormatting>
  <conditionalFormatting sqref="U4:U5">
    <cfRule type="dataBar" priority="17">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85">
    <cfRule type="dataBar" priority="208">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V5">
    <cfRule type="dataBar" priority="26">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D85">
    <cfRule type="containsText" dxfId="24" priority="14" operator="containsText" text="D">
      <formula>NOT(ISERROR(SEARCH("D",V9)))</formula>
    </cfRule>
    <cfRule type="containsText" dxfId="23" priority="15" operator="containsText" text="U">
      <formula>NOT(ISERROR(SEARCH("U",V9)))</formula>
    </cfRule>
  </conditionalFormatting>
  <conditionalFormatting sqref="W4:W5">
    <cfRule type="dataBar" priority="25">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X4:X5">
    <cfRule type="dataBar" priority="24">
      <dataBar>
        <cfvo type="min"/>
        <cfvo type="max"/>
        <color theme="0" tint="-0.14999847407452621"/>
      </dataBar>
      <extLst>
        <ext xmlns:x14="http://schemas.microsoft.com/office/spreadsheetml/2009/9/main" uri="{B025F937-C7B1-47D3-B67F-A62EFF666E3E}">
          <x14:id>{4265BF65-A0B5-4DF7-B865-7BD036217E09}</x14:id>
        </ext>
      </extLst>
    </cfRule>
  </conditionalFormatting>
  <conditionalFormatting sqref="Y4:Y5">
    <cfRule type="dataBar" priority="23">
      <dataBar>
        <cfvo type="min"/>
        <cfvo type="max"/>
        <color theme="0" tint="-0.14999847407452621"/>
      </dataBar>
      <extLst>
        <ext xmlns:x14="http://schemas.microsoft.com/office/spreadsheetml/2009/9/main" uri="{B025F937-C7B1-47D3-B67F-A62EFF666E3E}">
          <x14:id>{9BE8110B-EB62-4E75-A581-7C36645F8D08}</x14:id>
        </ext>
      </extLst>
    </cfRule>
  </conditionalFormatting>
  <conditionalFormatting sqref="Z4:Z5">
    <cfRule type="dataBar" priority="22">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AA4:AA5">
    <cfRule type="dataBar" priority="21">
      <dataBar>
        <cfvo type="min"/>
        <cfvo type="max"/>
        <color theme="0" tint="-0.14999847407452621"/>
      </dataBar>
      <extLst>
        <ext xmlns:x14="http://schemas.microsoft.com/office/spreadsheetml/2009/9/main" uri="{B025F937-C7B1-47D3-B67F-A62EFF666E3E}">
          <x14:id>{20181D46-869C-471E-A172-D176686E8640}</x14:id>
        </ext>
      </extLst>
    </cfRule>
  </conditionalFormatting>
  <conditionalFormatting sqref="AB4:AB5">
    <cfRule type="dataBar" priority="20">
      <dataBar>
        <cfvo type="min"/>
        <cfvo type="max"/>
        <color theme="0" tint="-0.14999847407452621"/>
      </dataBar>
      <extLst>
        <ext xmlns:x14="http://schemas.microsoft.com/office/spreadsheetml/2009/9/main" uri="{B025F937-C7B1-47D3-B67F-A62EFF666E3E}">
          <x14:id>{4CDC2B86-CC25-4CF5-A99D-ACB0BBBCBF67}</x14:id>
        </ext>
      </extLst>
    </cfRule>
  </conditionalFormatting>
  <conditionalFormatting sqref="AC4:AC5">
    <cfRule type="dataBar" priority="19">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AD4:AD5">
    <cfRule type="dataBar" priority="18">
      <dataBar>
        <cfvo type="min"/>
        <cfvo type="max"/>
        <color theme="0" tint="-0.14999847407452621"/>
      </dataBar>
      <extLst>
        <ext xmlns:x14="http://schemas.microsoft.com/office/spreadsheetml/2009/9/main" uri="{B025F937-C7B1-47D3-B67F-A62EFF666E3E}">
          <x14:id>{7D297F2C-EECD-492F-B384-F2E5B1B705BF}</x14:id>
        </ext>
      </extLst>
    </cfRule>
  </conditionalFormatting>
  <conditionalFormatting sqref="AE4:AE5">
    <cfRule type="dataBar" priority="2">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E9:AE85">
    <cfRule type="colorScale" priority="209">
      <colorScale>
        <cfvo type="min"/>
        <cfvo type="max"/>
        <color theme="0"/>
        <color theme="0" tint="-0.14999847407452621"/>
      </colorScale>
    </cfRule>
  </conditionalFormatting>
  <conditionalFormatting sqref="AH9:AH69">
    <cfRule type="expression" dxfId="22" priority="8">
      <formula>#REF!="C"</formula>
    </cfRule>
    <cfRule type="expression" dxfId="21" priority="9">
      <formula>#REF!="B"</formula>
    </cfRule>
    <cfRule type="expression" dxfId="20" priority="10">
      <formula>#REF!="A"</formula>
    </cfRule>
  </conditionalFormatting>
  <dataValidations count="2">
    <dataValidation type="list" allowBlank="1" showInputMessage="1" sqref="V9:AD85" xr:uid="{7DA91DE3-604C-4412-B794-4F4D3EC10586}">
      <formula1>"U,D"</formula1>
    </dataValidation>
    <dataValidation type="whole" allowBlank="1" showInputMessage="1" showErrorMessage="1" errorTitle="Confidence Level" error="Please Rate your Confidence Level on the Scale of 1-5." sqref="AE9:AE85" xr:uid="{6CB7B2CB-1406-4433-95D0-2AC9E3606557}">
      <formula1>1</formula1>
      <formula2>5</formula2>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U9:U85</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4265BF65-A0B5-4DF7-B865-7BD036217E09}">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9BE8110B-EB62-4E75-A581-7C36645F8D08}">
            <x14:dataBar minLength="0" maxLength="100" gradient="0">
              <x14:cfvo type="autoMin"/>
              <x14:cfvo type="autoMax"/>
              <x14:negativeFillColor rgb="FFFF0000"/>
              <x14:axisColor rgb="FF000000"/>
            </x14:dataBar>
          </x14:cfRule>
          <xm:sqref>Y4:Y5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Z4:Z5</xm:sqref>
        </x14:conditionalFormatting>
        <x14:conditionalFormatting xmlns:xm="http://schemas.microsoft.com/office/excel/2006/main">
          <x14:cfRule type="dataBar" id="{20181D46-869C-471E-A172-D176686E8640}">
            <x14:dataBar minLength="0" maxLength="100" gradient="0">
              <x14:cfvo type="autoMin"/>
              <x14:cfvo type="autoMax"/>
              <x14:negativeFillColor rgb="FFFF0000"/>
              <x14:axisColor rgb="FF000000"/>
            </x14:dataBar>
          </x14:cfRule>
          <xm:sqref>AA4:AA5</xm:sqref>
        </x14:conditionalFormatting>
        <x14:conditionalFormatting xmlns:xm="http://schemas.microsoft.com/office/excel/2006/main">
          <x14:cfRule type="dataBar" id="{4CDC2B86-CC25-4CF5-A99D-ACB0BBBCBF67}">
            <x14:dataBar minLength="0" maxLength="100" gradient="0">
              <x14:cfvo type="autoMin"/>
              <x14:cfvo type="autoMax"/>
              <x14:negativeFillColor rgb="FFFF0000"/>
              <x14:axisColor rgb="FF000000"/>
            </x14:dataBar>
          </x14:cfRule>
          <xm:sqref>AB4:AB5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AC4:AC5</xm:sqref>
        </x14:conditionalFormatting>
        <x14:conditionalFormatting xmlns:xm="http://schemas.microsoft.com/office/excel/2006/main">
          <x14:cfRule type="dataBar" id="{7D297F2C-EECD-492F-B384-F2E5B1B705BF}">
            <x14:dataBar minLength="0" maxLength="100" gradient="0">
              <x14:cfvo type="autoMin"/>
              <x14:cfvo type="autoMax"/>
              <x14:negativeFillColor rgb="FFFF0000"/>
              <x14:axisColor rgb="FF000000"/>
            </x14:dataBar>
          </x14:cfRule>
          <xm:sqref>AD4:AD5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AE4:AE5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M91"/>
  <sheetViews>
    <sheetView showGridLines="0" zoomScale="70" zoomScaleNormal="70" workbookViewId="0">
      <selection activeCell="A4" sqref="A4"/>
    </sheetView>
  </sheetViews>
  <sheetFormatPr defaultColWidth="9.140625" defaultRowHeight="15.75"/>
  <cols>
    <col min="1" max="1" width="9.140625" style="28"/>
    <col min="2" max="2" width="3.42578125" style="28" customWidth="1"/>
    <col min="3" max="3" width="23.85546875" style="28" customWidth="1"/>
    <col min="4" max="4" width="12.140625" style="28" customWidth="1"/>
    <col min="5" max="5" width="9.85546875" style="28" customWidth="1"/>
    <col min="6" max="6" width="11.7109375" style="28" hidden="1" customWidth="1"/>
    <col min="7" max="7" width="10.5703125" style="28" customWidth="1"/>
    <col min="8" max="8" width="10.7109375" style="28" customWidth="1"/>
    <col min="9" max="13" width="10.7109375" style="29" customWidth="1"/>
    <col min="14" max="14" width="12.28515625" style="29" customWidth="1"/>
    <col min="15" max="15" width="10.5703125" style="28" customWidth="1"/>
    <col min="16" max="16" width="9.140625" style="30"/>
    <col min="17" max="17" width="10.28515625" style="30" customWidth="1"/>
    <col min="18" max="18" width="12" style="30" customWidth="1"/>
    <col min="19" max="19" width="4.42578125" style="30" customWidth="1"/>
    <col min="20" max="20" width="11.5703125" style="30" customWidth="1"/>
    <col min="21" max="21" width="17.140625" style="30" bestFit="1" customWidth="1"/>
    <col min="22" max="29" width="9.140625" style="30"/>
    <col min="30" max="16384" width="9.140625" style="28"/>
  </cols>
  <sheetData>
    <row r="1" spans="2:23" ht="8.4499999999999993" customHeight="1"/>
    <row r="2" spans="2:23" s="76" customFormat="1" ht="15.75" customHeight="1">
      <c r="C2" s="291" t="s">
        <v>8</v>
      </c>
      <c r="D2" s="291"/>
      <c r="E2" s="291"/>
      <c r="F2" s="291"/>
      <c r="G2" s="291"/>
      <c r="H2" s="291"/>
      <c r="I2" s="291"/>
      <c r="J2" s="291"/>
      <c r="K2" s="291"/>
      <c r="L2" s="291"/>
      <c r="M2" s="291"/>
      <c r="N2" s="291"/>
      <c r="O2" s="291"/>
    </row>
    <row r="3" spans="2:23" s="76" customFormat="1" ht="11.45" customHeight="1">
      <c r="C3" s="291"/>
      <c r="D3" s="291"/>
      <c r="E3" s="291"/>
      <c r="F3" s="291"/>
      <c r="G3" s="291"/>
      <c r="H3" s="291"/>
      <c r="I3" s="291"/>
      <c r="J3" s="291"/>
      <c r="K3" s="291"/>
      <c r="L3" s="291"/>
      <c r="M3" s="291"/>
      <c r="N3" s="291"/>
      <c r="O3" s="291"/>
    </row>
    <row r="4" spans="2:23" s="30" customFormat="1" ht="11.45" customHeight="1">
      <c r="C4" s="55"/>
      <c r="D4" s="55"/>
      <c r="E4" s="55"/>
      <c r="F4" s="55"/>
      <c r="G4" s="55"/>
      <c r="H4" s="55"/>
      <c r="I4" s="55"/>
      <c r="J4" s="55"/>
      <c r="K4" s="55"/>
      <c r="L4" s="55"/>
      <c r="M4" s="55"/>
      <c r="N4" s="55"/>
      <c r="O4" s="55"/>
    </row>
    <row r="5" spans="2:23" s="30" customFormat="1" ht="11.45" customHeight="1">
      <c r="B5" s="299" t="str">
        <f>CONCATENATE("The graph below, with respect to the practice is a simple average of the ",'⏱ Input'!X8," and ",'⏱ Input'!Y8," and extra practice is a simple average of the ",'⏱ Input'!AA8,", ",'⏱ Input'!AB8,", ",'⏱ Input'!AC8," and ",'⏱ Input'!AD8,".")</f>
        <v>The graph below, with respect to the practice is a simple average of the Inst. EOC Ques. and Class Test Book and extra practice is a simple average of the Inst. Online Portal, Prac. Book, Schweser Prac. Bk 1 and Schweser Prac. Bk 2.</v>
      </c>
      <c r="C5" s="299"/>
      <c r="D5" s="299"/>
      <c r="E5" s="299"/>
      <c r="F5" s="299"/>
      <c r="G5" s="299"/>
      <c r="H5" s="299"/>
      <c r="I5" s="299"/>
      <c r="J5" s="299"/>
      <c r="K5" s="299"/>
      <c r="L5" s="299"/>
      <c r="M5" s="299"/>
      <c r="N5" s="299"/>
      <c r="O5" s="299"/>
      <c r="P5" s="299"/>
      <c r="Q5" s="299"/>
      <c r="R5" s="56"/>
      <c r="S5" s="56"/>
      <c r="T5" s="56"/>
      <c r="U5" s="56"/>
      <c r="V5" s="56"/>
      <c r="W5" s="56"/>
    </row>
    <row r="6" spans="2:23" s="30" customFormat="1" ht="32.450000000000003" customHeight="1">
      <c r="B6" s="299"/>
      <c r="C6" s="299"/>
      <c r="D6" s="299"/>
      <c r="E6" s="299"/>
      <c r="F6" s="299"/>
      <c r="G6" s="299"/>
      <c r="H6" s="299"/>
      <c r="I6" s="299"/>
      <c r="J6" s="299"/>
      <c r="K6" s="299"/>
      <c r="L6" s="299"/>
      <c r="M6" s="299"/>
      <c r="N6" s="299"/>
      <c r="O6" s="299"/>
      <c r="P6" s="299"/>
      <c r="Q6" s="299"/>
      <c r="R6" s="56"/>
      <c r="S6" s="56"/>
      <c r="T6" s="56"/>
      <c r="U6" s="56"/>
      <c r="V6" s="56"/>
      <c r="W6" s="56"/>
    </row>
    <row r="7" spans="2:23" s="30" customFormat="1" ht="15.75" customHeight="1">
      <c r="I7" s="29"/>
      <c r="J7" s="29"/>
      <c r="K7" s="29"/>
      <c r="L7" s="29"/>
      <c r="M7" s="29"/>
      <c r="N7" s="29"/>
      <c r="O7" s="28"/>
    </row>
    <row r="8" spans="2:23" s="30" customFormat="1" ht="15.75" customHeight="1">
      <c r="H8" s="30" t="s">
        <v>191</v>
      </c>
      <c r="I8" s="29"/>
      <c r="J8" s="29"/>
      <c r="K8" s="29"/>
      <c r="L8" s="29"/>
      <c r="M8" s="29"/>
      <c r="N8" s="29"/>
      <c r="O8" s="28"/>
    </row>
    <row r="9" spans="2:23" s="30" customFormat="1" ht="15.75" customHeight="1">
      <c r="I9" s="29"/>
      <c r="J9" s="29"/>
      <c r="K9" s="29"/>
      <c r="L9" s="29"/>
      <c r="M9" s="29"/>
      <c r="N9" s="29"/>
      <c r="O9" s="28"/>
    </row>
    <row r="10" spans="2:23" s="30" customFormat="1" ht="15.75" customHeight="1">
      <c r="I10" s="29"/>
      <c r="J10" s="29"/>
      <c r="K10" s="29"/>
      <c r="L10" s="29"/>
      <c r="M10" s="29"/>
      <c r="N10" s="29"/>
      <c r="O10" s="28"/>
      <c r="S10" s="148" t="s">
        <v>111</v>
      </c>
      <c r="T10" s="149"/>
    </row>
    <row r="11" spans="2:23" s="30" customFormat="1" ht="15.75" customHeight="1">
      <c r="I11" s="29"/>
      <c r="J11" s="29"/>
      <c r="K11" s="29"/>
      <c r="L11" s="29"/>
      <c r="M11" s="29"/>
      <c r="N11" s="29"/>
      <c r="O11" s="28"/>
      <c r="S11" s="4"/>
      <c r="T11" s="28" t="s">
        <v>30</v>
      </c>
    </row>
    <row r="12" spans="2:23" s="30" customFormat="1" ht="15.75" customHeight="1">
      <c r="I12" s="29"/>
      <c r="J12" s="29"/>
      <c r="K12" s="29"/>
      <c r="L12" s="29"/>
      <c r="M12" s="29"/>
      <c r="N12" s="29"/>
      <c r="O12" s="28"/>
      <c r="S12" s="5"/>
      <c r="T12" s="28" t="s">
        <v>29</v>
      </c>
    </row>
    <row r="13" spans="2:23" s="30" customFormat="1" ht="15.75" customHeight="1">
      <c r="I13" s="29"/>
      <c r="J13" s="29"/>
      <c r="K13" s="29"/>
      <c r="L13" s="29"/>
      <c r="M13" s="29"/>
      <c r="N13" s="29"/>
      <c r="O13" s="28"/>
      <c r="S13" s="149"/>
      <c r="T13" s="28"/>
    </row>
    <row r="14" spans="2:23" s="30" customFormat="1" ht="15.75" customHeight="1">
      <c r="I14" s="29"/>
      <c r="J14" s="29"/>
      <c r="K14" s="29"/>
      <c r="L14" s="29"/>
      <c r="M14" s="29"/>
      <c r="N14" s="29"/>
      <c r="O14" s="28"/>
      <c r="S14" s="149" t="s">
        <v>35</v>
      </c>
      <c r="T14" s="28"/>
    </row>
    <row r="15" spans="2:23" s="30" customFormat="1" ht="15.75" customHeight="1">
      <c r="I15" s="29"/>
      <c r="J15" s="29"/>
      <c r="K15" s="29"/>
      <c r="L15" s="29"/>
      <c r="M15" s="29"/>
      <c r="N15" s="29"/>
      <c r="O15" s="28"/>
      <c r="S15" s="6"/>
      <c r="T15" s="28" t="s">
        <v>30</v>
      </c>
    </row>
    <row r="16" spans="2:23" s="30" customFormat="1" ht="15.75" customHeight="1">
      <c r="I16" s="29"/>
      <c r="J16" s="29"/>
      <c r="K16" s="29"/>
      <c r="L16" s="29"/>
      <c r="M16" s="29"/>
      <c r="N16" s="29"/>
      <c r="O16" s="28"/>
      <c r="S16" s="7"/>
      <c r="T16" s="28" t="s">
        <v>29</v>
      </c>
    </row>
    <row r="17" spans="3:36" s="30" customFormat="1" ht="15.75" customHeight="1">
      <c r="I17" s="29"/>
      <c r="J17" s="29"/>
      <c r="K17" s="29"/>
      <c r="L17" s="29"/>
      <c r="M17" s="29"/>
      <c r="N17" s="29"/>
      <c r="O17" s="28"/>
      <c r="S17" s="28"/>
      <c r="T17" s="28"/>
    </row>
    <row r="18" spans="3:36" s="30" customFormat="1" ht="15.75" customHeight="1">
      <c r="I18" s="29"/>
      <c r="J18" s="29"/>
      <c r="K18" s="29"/>
      <c r="L18" s="29"/>
      <c r="M18" s="29"/>
      <c r="N18" s="29"/>
      <c r="O18" s="28"/>
      <c r="S18" s="149" t="s">
        <v>43</v>
      </c>
      <c r="T18" s="28"/>
    </row>
    <row r="19" spans="3:36" s="30" customFormat="1" ht="15.75" customHeight="1">
      <c r="I19" s="29"/>
      <c r="J19" s="29"/>
      <c r="K19" s="29"/>
      <c r="L19" s="29"/>
      <c r="M19" s="29"/>
      <c r="N19" s="29"/>
      <c r="O19" s="28"/>
      <c r="S19" s="23"/>
      <c r="T19" s="28" t="s">
        <v>30</v>
      </c>
    </row>
    <row r="20" spans="3:36" s="30" customFormat="1" ht="15.75" customHeight="1">
      <c r="I20" s="29"/>
      <c r="J20" s="29"/>
      <c r="K20" s="29"/>
      <c r="L20" s="29"/>
      <c r="M20" s="29"/>
      <c r="N20" s="29"/>
      <c r="O20" s="28"/>
      <c r="S20" s="191"/>
      <c r="T20" s="28" t="s">
        <v>29</v>
      </c>
    </row>
    <row r="21" spans="3:36" s="30" customFormat="1" ht="15.75" customHeight="1">
      <c r="I21" s="29"/>
      <c r="J21" s="29"/>
      <c r="K21" s="29"/>
      <c r="L21" s="29"/>
      <c r="M21" s="29"/>
      <c r="N21" s="29"/>
      <c r="O21" s="28"/>
      <c r="S21" s="28"/>
      <c r="T21" s="28"/>
    </row>
    <row r="22" spans="3:36" s="30" customFormat="1" ht="15.75" customHeight="1">
      <c r="I22" s="29"/>
      <c r="J22" s="29"/>
      <c r="K22" s="29"/>
      <c r="L22" s="29"/>
      <c r="M22" s="29"/>
      <c r="N22" s="29"/>
      <c r="O22" s="28"/>
      <c r="S22" s="149" t="s">
        <v>137</v>
      </c>
      <c r="T22" s="28"/>
    </row>
    <row r="23" spans="3:36" s="30" customFormat="1" ht="15.75" customHeight="1">
      <c r="I23" s="29"/>
      <c r="J23" s="29"/>
      <c r="K23" s="29"/>
      <c r="L23" s="29"/>
      <c r="M23" s="29"/>
      <c r="N23" s="29"/>
      <c r="O23" s="28"/>
      <c r="S23" s="24"/>
      <c r="T23" s="28" t="s">
        <v>30</v>
      </c>
    </row>
    <row r="24" spans="3:36" s="30" customFormat="1" ht="15.75" customHeight="1">
      <c r="I24" s="29"/>
      <c r="J24" s="29"/>
      <c r="K24" s="29"/>
      <c r="L24" s="29"/>
      <c r="M24" s="29"/>
      <c r="N24" s="29"/>
      <c r="O24" s="28"/>
      <c r="S24" s="25"/>
      <c r="T24" s="28" t="s">
        <v>29</v>
      </c>
    </row>
    <row r="25" spans="3:36" s="30" customFormat="1" ht="15.75" customHeight="1">
      <c r="I25" s="29"/>
      <c r="J25" s="29"/>
      <c r="K25" s="29"/>
      <c r="L25" s="29"/>
      <c r="M25" s="29"/>
      <c r="N25" s="29"/>
      <c r="O25" s="28"/>
      <c r="S25" s="28"/>
      <c r="T25" s="28"/>
    </row>
    <row r="26" spans="3:36" s="30" customFormat="1" ht="15.75" customHeight="1" thickBot="1">
      <c r="I26" s="29"/>
      <c r="J26" s="29"/>
      <c r="K26" s="29"/>
      <c r="L26" s="29"/>
      <c r="M26" s="29"/>
      <c r="N26" s="29"/>
      <c r="O26" s="28"/>
      <c r="S26" s="28"/>
      <c r="T26" s="289" t="s">
        <v>136</v>
      </c>
    </row>
    <row r="27" spans="3:36" s="30" customFormat="1" ht="15.75" customHeight="1" thickTop="1">
      <c r="I27" s="29"/>
      <c r="J27" s="29"/>
      <c r="K27" s="29"/>
      <c r="L27" s="29"/>
      <c r="M27" s="29"/>
      <c r="N27" s="29"/>
      <c r="O27" s="28"/>
      <c r="S27" s="185"/>
      <c r="T27" s="290"/>
    </row>
    <row r="28" spans="3:36" s="30" customFormat="1" ht="15.75" customHeight="1">
      <c r="I28" s="29"/>
      <c r="J28" s="29"/>
      <c r="K28" s="29"/>
      <c r="L28" s="29"/>
      <c r="M28" s="29"/>
      <c r="N28" s="29"/>
      <c r="O28" s="28"/>
    </row>
    <row r="29" spans="3:36" s="30" customFormat="1" ht="15.75" customHeight="1">
      <c r="I29" s="29"/>
      <c r="J29" s="29"/>
      <c r="K29" s="29"/>
      <c r="L29" s="29"/>
      <c r="M29" s="29"/>
      <c r="N29" s="29"/>
      <c r="O29" s="28"/>
    </row>
    <row r="30" spans="3:36" s="30" customFormat="1" ht="15.75" customHeight="1">
      <c r="I30" s="29"/>
      <c r="J30" s="29"/>
      <c r="K30" s="29"/>
      <c r="L30" s="29"/>
      <c r="M30" s="29"/>
      <c r="N30" s="29"/>
      <c r="O30" s="28"/>
    </row>
    <row r="31" spans="3:36" s="30" customFormat="1" ht="23.25" customHeight="1">
      <c r="C31" s="293" t="s">
        <v>3</v>
      </c>
      <c r="D31" s="292" t="s">
        <v>111</v>
      </c>
      <c r="E31" s="292"/>
      <c r="F31" s="292"/>
      <c r="G31" s="297" t="s">
        <v>35</v>
      </c>
      <c r="H31" s="297"/>
      <c r="I31" s="190" t="s">
        <v>43</v>
      </c>
      <c r="J31" s="298" t="s">
        <v>137</v>
      </c>
      <c r="K31" s="298"/>
      <c r="L31" s="298"/>
      <c r="M31" s="298"/>
      <c r="N31" s="295" t="s">
        <v>138</v>
      </c>
      <c r="O31" s="295" t="s">
        <v>27</v>
      </c>
      <c r="X31" s="29"/>
      <c r="Y31" s="29"/>
      <c r="Z31" s="29"/>
      <c r="AA31" s="29"/>
      <c r="AB31" s="29"/>
      <c r="AC31" s="29"/>
      <c r="AD31" s="29"/>
      <c r="AE31" s="29"/>
      <c r="AF31" s="29"/>
    </row>
    <row r="32" spans="3:36" ht="46.5" customHeight="1">
      <c r="C32" s="294"/>
      <c r="D32" s="160" t="s">
        <v>59</v>
      </c>
      <c r="E32" s="160" t="s">
        <v>51</v>
      </c>
      <c r="F32" s="160" t="s">
        <v>63</v>
      </c>
      <c r="G32" s="161" t="str">
        <f>Master_Data[[#Headers],[Inst. EOC Ques.]]</f>
        <v>Inst. EOC Ques.</v>
      </c>
      <c r="H32" s="161" t="str">
        <f>Master_Data[[#Headers],[Class Test Book]]</f>
        <v>Class Test Book</v>
      </c>
      <c r="I32" s="162" t="str">
        <f>Master_Data[[#Headers],[Revision]]</f>
        <v>Revision</v>
      </c>
      <c r="J32" s="163" t="str">
        <f>Master_Data[[#Headers],[Inst. Online Portal]]</f>
        <v>Inst. Online Portal</v>
      </c>
      <c r="K32" s="163" t="str">
        <f>Master_Data[[#Headers],[Prac. Book]]</f>
        <v>Prac. Book</v>
      </c>
      <c r="L32" s="163" t="str">
        <f>Master_Data[[#Headers],[Schweser Prac. Bk 1]]</f>
        <v>Schweser Prac. Bk 1</v>
      </c>
      <c r="M32" s="163" t="str">
        <f>Master_Data[[#Headers],[Schweser Prac. Bk 2]]</f>
        <v>Schweser Prac. Bk 2</v>
      </c>
      <c r="N32" s="296"/>
      <c r="O32" s="296"/>
      <c r="P32" s="35" t="s">
        <v>36</v>
      </c>
      <c r="Q32" s="35" t="s">
        <v>37</v>
      </c>
      <c r="R32" s="35" t="s">
        <v>150</v>
      </c>
      <c r="S32" s="35" t="s">
        <v>38</v>
      </c>
      <c r="T32" s="35" t="s">
        <v>142</v>
      </c>
      <c r="U32" s="35" t="s">
        <v>143</v>
      </c>
      <c r="V32" s="35" t="s">
        <v>144</v>
      </c>
      <c r="W32" s="35"/>
      <c r="X32" s="35"/>
      <c r="Y32" s="35"/>
      <c r="Z32" s="35" t="s">
        <v>31</v>
      </c>
      <c r="AA32" s="35" t="s">
        <v>32</v>
      </c>
      <c r="AB32" s="35" t="s">
        <v>33</v>
      </c>
      <c r="AC32" s="35" t="s">
        <v>34</v>
      </c>
      <c r="AD32" s="35" t="s">
        <v>145</v>
      </c>
      <c r="AE32" s="35" t="s">
        <v>146</v>
      </c>
      <c r="AF32" s="35" t="s">
        <v>143</v>
      </c>
      <c r="AG32" s="35" t="s">
        <v>147</v>
      </c>
      <c r="AH32" s="35" t="s">
        <v>148</v>
      </c>
      <c r="AI32" s="35" t="s">
        <v>149</v>
      </c>
      <c r="AJ32" s="35"/>
    </row>
    <row r="33" spans="2:39">
      <c r="B33" s="137">
        <v>2.5</v>
      </c>
      <c r="C33" s="164" t="s">
        <v>9</v>
      </c>
      <c r="D33" s="165">
        <f>SUMIFS(Master_Data[Duration (hh:mm)],Master_Data[Subject],'📊 Progress'!C33,Master_Data[Lectures],"d")</f>
        <v>0</v>
      </c>
      <c r="E33" s="166">
        <f>SUMIF(Master_Data[Subject],'📊 Progress'!C33,Master_Data[Duration (hh:mm)])</f>
        <v>2.2402777777777776</v>
      </c>
      <c r="F33" s="167">
        <f>SUMIFS(Master_Data[No. of Chapters],Master_Data[Subject],C33,Master_Data[Self Study],"D",Master_Data[Lectures],"D")</f>
        <v>0</v>
      </c>
      <c r="G33" s="167">
        <f>SUMIFS(Master_Data[No. of Chapters],Master_Data[Subject],'📊 Progress'!$C33,Master_Data[Inst. EOC Ques.],"D")</f>
        <v>0</v>
      </c>
      <c r="H33" s="167">
        <f>SUMIFS(Master_Data[No. of Chapters],Master_Data[Subject],'📊 Progress'!$C33,Master_Data[Class Test Book],"D")</f>
        <v>0</v>
      </c>
      <c r="I33" s="167">
        <f>SUMIFS(Master_Data[No. of Chapters],Master_Data[Subject],'📊 Progress'!$C33,Master_Data[Revision],"D")</f>
        <v>0</v>
      </c>
      <c r="J33" s="167">
        <f>SUMIFS(Master_Data[No. of Chapters],Master_Data[Subject],'📊 Progress'!$C33,Master_Data[Inst. Online Portal],"D")</f>
        <v>0</v>
      </c>
      <c r="K33" s="167">
        <f>SUMIFS(Master_Data[No. of Chapters],Master_Data[Subject],'📊 Progress'!$C33,Master_Data[Prac. Book],"D")</f>
        <v>0</v>
      </c>
      <c r="L33" s="167">
        <f>SUMIFS(Master_Data[No. of Chapters],Master_Data[Subject],'📊 Progress'!$C33,Master_Data[Schweser Prac. Bk 1],"D")</f>
        <v>0</v>
      </c>
      <c r="M33" s="167">
        <f>SUMIFS(Master_Data[No. of Chapters],Master_Data[Subject],'📊 Progress'!$C33,Master_Data[Schweser Prac. Bk 2],"D")</f>
        <v>0</v>
      </c>
      <c r="N33" s="168">
        <f>SUMIF(Master_Data[Subject],'📊 Progress'!C33,Master_Data[Subjectwise weighted average])</f>
        <v>2.4772727272727271</v>
      </c>
      <c r="O33" s="169">
        <f>SUMIFS(Master_Data[No. of Chapters],Master_Data[Subject],'📊 Progress'!C33)</f>
        <v>18</v>
      </c>
      <c r="P33" s="36">
        <f>ROUND(AVERAGE(G33:H33),0)</f>
        <v>0</v>
      </c>
      <c r="Q33" s="36">
        <f t="shared" ref="Q33:Q42" si="0">O33-P33</f>
        <v>18</v>
      </c>
      <c r="R33" s="36">
        <f t="shared" ref="R33:R42" si="1">F33</f>
        <v>0</v>
      </c>
      <c r="S33" s="36">
        <f t="shared" ref="S33:S42" si="2">O33-F33</f>
        <v>18</v>
      </c>
      <c r="T33" s="36">
        <f t="shared" ref="T33:T42" si="3">O33-I33</f>
        <v>18</v>
      </c>
      <c r="U33" s="36">
        <f>ROUND(AVERAGE(J33:M33),0)</f>
        <v>0</v>
      </c>
      <c r="V33" s="36">
        <f t="shared" ref="V33:V42" si="4">O33-U33</f>
        <v>18</v>
      </c>
      <c r="W33" s="35"/>
      <c r="X33" s="35"/>
      <c r="Y33" s="35" t="str">
        <f t="shared" ref="Y33:Y42" si="5">C33</f>
        <v>Quants</v>
      </c>
      <c r="Z33" s="79">
        <f t="shared" ref="Z33:Z42" si="6">(F33/O33)</f>
        <v>0</v>
      </c>
      <c r="AA33" s="79">
        <v>1</v>
      </c>
      <c r="AB33" s="79" t="str">
        <f t="shared" ref="AB33:AB42" si="7">IF((P33/O33)=0,"",P33/O33)</f>
        <v/>
      </c>
      <c r="AC33" s="79">
        <v>1</v>
      </c>
      <c r="AD33" s="79">
        <f t="shared" ref="AD33:AD42" si="8">I33/O33</f>
        <v>0</v>
      </c>
      <c r="AE33" s="79">
        <v>1</v>
      </c>
      <c r="AF33" s="79" t="str">
        <f t="shared" ref="AF33:AF42" si="9">IF((U33/O33)=0,"",U33/O33)</f>
        <v/>
      </c>
      <c r="AG33" s="79">
        <v>1</v>
      </c>
      <c r="AH33" s="79">
        <f t="shared" ref="AH33:AH42" si="10">N33/5</f>
        <v>0.49545454545454543</v>
      </c>
      <c r="AI33" s="79">
        <v>1</v>
      </c>
      <c r="AJ33" s="35"/>
    </row>
    <row r="34" spans="2:39">
      <c r="B34" s="137">
        <v>2.5</v>
      </c>
      <c r="C34" s="164" t="s">
        <v>14</v>
      </c>
      <c r="D34" s="165">
        <f>SUMIFS(Master_Data[Duration (hh:mm)],Master_Data[Subject],'📊 Progress'!C34,Master_Data[Lectures],"d")</f>
        <v>0</v>
      </c>
      <c r="E34" s="166">
        <f>SUMIF(Master_Data[Subject],'📊 Progress'!C34,Master_Data[Duration (hh:mm)])</f>
        <v>1.4972222222222222</v>
      </c>
      <c r="F34" s="167">
        <f>SUMIFS(Master_Data[No. of Chapters],Master_Data[Subject],C34,Master_Data[Self Study],"D",Master_Data[Lectures],"D")</f>
        <v>0</v>
      </c>
      <c r="G34" s="167">
        <f>SUMIFS(Master_Data[No. of Chapters],Master_Data[Subject],'📊 Progress'!$C34,Master_Data[Inst. EOC Ques.],"D")</f>
        <v>0</v>
      </c>
      <c r="H34" s="167">
        <f>SUMIFS(Master_Data[No. of Chapters],Master_Data[Subject],'📊 Progress'!$C34,Master_Data[Class Test Book],"D")</f>
        <v>0</v>
      </c>
      <c r="I34" s="167">
        <f>SUMIFS(Master_Data[No. of Chapters],Master_Data[Subject],'📊 Progress'!$C34,Master_Data[Revision],"D")</f>
        <v>0</v>
      </c>
      <c r="J34" s="167">
        <f>SUMIFS(Master_Data[No. of Chapters],Master_Data[Subject],'📊 Progress'!$C34,Master_Data[Inst. Online Portal],"D")</f>
        <v>0</v>
      </c>
      <c r="K34" s="167">
        <f>SUMIFS(Master_Data[No. of Chapters],Master_Data[Subject],'📊 Progress'!$C34,Master_Data[Prac. Book],"D")</f>
        <v>0</v>
      </c>
      <c r="L34" s="167">
        <f>SUMIFS(Master_Data[No. of Chapters],Master_Data[Subject],'📊 Progress'!$C34,Master_Data[Schweser Prac. Bk 1],"D")</f>
        <v>0</v>
      </c>
      <c r="M34" s="167">
        <f>SUMIFS(Master_Data[No. of Chapters],Master_Data[Subject],'📊 Progress'!$C34,Master_Data[Schweser Prac. Bk 2],"D")</f>
        <v>0</v>
      </c>
      <c r="N34" s="168">
        <f>SUMIF(Master_Data[Subject],'📊 Progress'!C34,Master_Data[Subjectwise weighted average])</f>
        <v>2.6551724137931032</v>
      </c>
      <c r="O34" s="169">
        <f>SUMIFS(Master_Data[No. of Chapters],Master_Data[Subject],'📊 Progress'!C34)</f>
        <v>15</v>
      </c>
      <c r="P34" s="36">
        <f t="shared" ref="P34:P41" si="11">ROUND(AVERAGE(G34:H34),0)</f>
        <v>0</v>
      </c>
      <c r="Q34" s="36">
        <f t="shared" ref="Q34:Q41" si="12">O34-P34</f>
        <v>15</v>
      </c>
      <c r="R34" s="36">
        <f t="shared" ref="R34:R41" si="13">F34</f>
        <v>0</v>
      </c>
      <c r="S34" s="36">
        <f t="shared" ref="S34:S41" si="14">O34-F34</f>
        <v>15</v>
      </c>
      <c r="T34" s="36">
        <f t="shared" ref="T34:T41" si="15">O34-I34</f>
        <v>15</v>
      </c>
      <c r="U34" s="36">
        <f t="shared" ref="U34:U41" si="16">ROUND(AVERAGE(J34:M34),0)</f>
        <v>0</v>
      </c>
      <c r="V34" s="36">
        <f t="shared" ref="V34:V41" si="17">O34-U34</f>
        <v>15</v>
      </c>
      <c r="W34" s="35"/>
      <c r="X34" s="35"/>
      <c r="Y34" s="35" t="str">
        <f t="shared" ref="Y34:Y41" si="18">C34</f>
        <v>Economics</v>
      </c>
      <c r="Z34" s="79">
        <f t="shared" ref="Z34:Z41" si="19">(F34/O34)</f>
        <v>0</v>
      </c>
      <c r="AA34" s="79">
        <v>1</v>
      </c>
      <c r="AB34" s="79" t="str">
        <f t="shared" ref="AB34:AB41" si="20">IF((P34/O34)=0,"",P34/O34)</f>
        <v/>
      </c>
      <c r="AC34" s="79">
        <v>1</v>
      </c>
      <c r="AD34" s="79">
        <f t="shared" ref="AD34:AD41" si="21">I34/O34</f>
        <v>0</v>
      </c>
      <c r="AE34" s="79">
        <v>1</v>
      </c>
      <c r="AF34" s="79" t="str">
        <f t="shared" ref="AF34:AF41" si="22">IF((U34/O34)=0,"",U34/O34)</f>
        <v/>
      </c>
      <c r="AG34" s="79">
        <v>1</v>
      </c>
      <c r="AH34" s="79">
        <f t="shared" ref="AH34:AH41" si="23">N34/5</f>
        <v>0.53103448275862064</v>
      </c>
      <c r="AI34" s="79"/>
      <c r="AJ34" s="35"/>
    </row>
    <row r="35" spans="2:39">
      <c r="B35" s="137">
        <v>2.5</v>
      </c>
      <c r="C35" s="164" t="s">
        <v>226</v>
      </c>
      <c r="D35" s="165">
        <f>SUMIFS(Master_Data[Duration (hh:mm)],Master_Data[Subject],'📊 Progress'!C35,Master_Data[Lectures],"d")</f>
        <v>0</v>
      </c>
      <c r="E35" s="166">
        <f>SUMIF(Master_Data[Subject],'📊 Progress'!C35,Master_Data[Duration (hh:mm)])</f>
        <v>1.8472222222222223</v>
      </c>
      <c r="F35" s="167">
        <f>SUMIFS(Master_Data[No. of Chapters],Master_Data[Subject],C35,Master_Data[Self Study],"D",Master_Data[Lectures],"D")</f>
        <v>0</v>
      </c>
      <c r="G35" s="167">
        <f>SUMIFS(Master_Data[No. of Chapters],Master_Data[Subject],'📊 Progress'!$C35,Master_Data[Inst. EOC Ques.],"D")</f>
        <v>0</v>
      </c>
      <c r="H35" s="167">
        <f>SUMIFS(Master_Data[No. of Chapters],Master_Data[Subject],'📊 Progress'!$C35,Master_Data[Class Test Book],"D")</f>
        <v>0</v>
      </c>
      <c r="I35" s="167">
        <f>SUMIFS(Master_Data[No. of Chapters],Master_Data[Subject],'📊 Progress'!$C35,Master_Data[Revision],"D")</f>
        <v>0</v>
      </c>
      <c r="J35" s="167">
        <f>SUMIFS(Master_Data[No. of Chapters],Master_Data[Subject],'📊 Progress'!$C35,Master_Data[Inst. Online Portal],"D")</f>
        <v>0</v>
      </c>
      <c r="K35" s="167">
        <f>SUMIFS(Master_Data[No. of Chapters],Master_Data[Subject],'📊 Progress'!$C35,Master_Data[Prac. Book],"D")</f>
        <v>0</v>
      </c>
      <c r="L35" s="167">
        <f>SUMIFS(Master_Data[No. of Chapters],Master_Data[Subject],'📊 Progress'!$C35,Master_Data[Schweser Prac. Bk 1],"D")</f>
        <v>0</v>
      </c>
      <c r="M35" s="167">
        <f>SUMIFS(Master_Data[No. of Chapters],Master_Data[Subject],'📊 Progress'!$C35,Master_Data[Schweser Prac. Bk 2],"D")</f>
        <v>0</v>
      </c>
      <c r="N35" s="168">
        <f>SUMIF(Master_Data[Subject],'📊 Progress'!C35,Master_Data[Subjectwise weighted average])</f>
        <v>2.2790697674418601</v>
      </c>
      <c r="O35" s="169">
        <f>SUMIFS(Master_Data[No. of Chapters],Master_Data[Subject],'📊 Progress'!C35)</f>
        <v>21</v>
      </c>
      <c r="P35" s="36">
        <f t="shared" si="11"/>
        <v>0</v>
      </c>
      <c r="Q35" s="36">
        <f t="shared" si="12"/>
        <v>21</v>
      </c>
      <c r="R35" s="36">
        <f t="shared" si="13"/>
        <v>0</v>
      </c>
      <c r="S35" s="36">
        <f t="shared" si="14"/>
        <v>21</v>
      </c>
      <c r="T35" s="36">
        <f t="shared" si="15"/>
        <v>21</v>
      </c>
      <c r="U35" s="36">
        <f t="shared" si="16"/>
        <v>0</v>
      </c>
      <c r="V35" s="36">
        <f t="shared" si="17"/>
        <v>21</v>
      </c>
      <c r="W35" s="35"/>
      <c r="X35" s="35"/>
      <c r="Y35" s="35" t="str">
        <f t="shared" si="18"/>
        <v>FSA</v>
      </c>
      <c r="Z35" s="79">
        <f t="shared" si="19"/>
        <v>0</v>
      </c>
      <c r="AA35" s="79">
        <v>1</v>
      </c>
      <c r="AB35" s="79" t="str">
        <f t="shared" si="20"/>
        <v/>
      </c>
      <c r="AC35" s="79">
        <v>1</v>
      </c>
      <c r="AD35" s="79">
        <f t="shared" si="21"/>
        <v>0</v>
      </c>
      <c r="AE35" s="79">
        <v>1</v>
      </c>
      <c r="AF35" s="79" t="str">
        <f t="shared" si="22"/>
        <v/>
      </c>
      <c r="AG35" s="79">
        <v>1</v>
      </c>
      <c r="AH35" s="79">
        <f t="shared" si="23"/>
        <v>0.455813953488372</v>
      </c>
      <c r="AI35" s="79"/>
      <c r="AJ35" s="35"/>
    </row>
    <row r="36" spans="2:39">
      <c r="B36" s="137">
        <v>2.5</v>
      </c>
      <c r="C36" s="164" t="s">
        <v>133</v>
      </c>
      <c r="D36" s="165">
        <f>SUMIFS(Master_Data[Duration (hh:mm)],Master_Data[Subject],'📊 Progress'!C36,Master_Data[Lectures],"d")</f>
        <v>0</v>
      </c>
      <c r="E36" s="166">
        <f>SUMIF(Master_Data[Subject],'📊 Progress'!C36,Master_Data[Duration (hh:mm)])</f>
        <v>1.1347222222222222</v>
      </c>
      <c r="F36" s="167">
        <f>SUMIFS(Master_Data[No. of Chapters],Master_Data[Subject],C36,Master_Data[Self Study],"D",Master_Data[Lectures],"D")</f>
        <v>0</v>
      </c>
      <c r="G36" s="167">
        <f>SUMIFS(Master_Data[No. of Chapters],Master_Data[Subject],'📊 Progress'!$C36,Master_Data[Inst. EOC Ques.],"D")</f>
        <v>0</v>
      </c>
      <c r="H36" s="167">
        <f>SUMIFS(Master_Data[No. of Chapters],Master_Data[Subject],'📊 Progress'!$C36,Master_Data[Class Test Book],"D")</f>
        <v>0</v>
      </c>
      <c r="I36" s="167">
        <f>SUMIFS(Master_Data[No. of Chapters],Master_Data[Subject],'📊 Progress'!$C36,Master_Data[Revision],"D")</f>
        <v>0</v>
      </c>
      <c r="J36" s="167">
        <f>SUMIFS(Master_Data[No. of Chapters],Master_Data[Subject],'📊 Progress'!$C36,Master_Data[Inst. Online Portal],"D")</f>
        <v>0</v>
      </c>
      <c r="K36" s="167">
        <f>SUMIFS(Master_Data[No. of Chapters],Master_Data[Subject],'📊 Progress'!$C36,Master_Data[Prac. Book],"D")</f>
        <v>0</v>
      </c>
      <c r="L36" s="167">
        <f>SUMIFS(Master_Data[No. of Chapters],Master_Data[Subject],'📊 Progress'!$C36,Master_Data[Schweser Prac. Bk 1],"D")</f>
        <v>0</v>
      </c>
      <c r="M36" s="167">
        <f>SUMIFS(Master_Data[No. of Chapters],Master_Data[Subject],'📊 Progress'!$C36,Master_Data[Schweser Prac. Bk 2],"D")</f>
        <v>0</v>
      </c>
      <c r="N36" s="168">
        <f>SUMIF(Master_Data[Subject],'📊 Progress'!C36,Master_Data[Subjectwise weighted average])</f>
        <v>2.2272727272727275</v>
      </c>
      <c r="O36" s="169">
        <f>SUMIFS(Master_Data[No. of Chapters],Master_Data[Subject],'📊 Progress'!C36)</f>
        <v>7</v>
      </c>
      <c r="P36" s="36">
        <f t="shared" si="11"/>
        <v>0</v>
      </c>
      <c r="Q36" s="36">
        <f t="shared" si="12"/>
        <v>7</v>
      </c>
      <c r="R36" s="36">
        <f t="shared" si="13"/>
        <v>0</v>
      </c>
      <c r="S36" s="36">
        <f t="shared" si="14"/>
        <v>7</v>
      </c>
      <c r="T36" s="36">
        <f t="shared" si="15"/>
        <v>7</v>
      </c>
      <c r="U36" s="36">
        <f t="shared" si="16"/>
        <v>0</v>
      </c>
      <c r="V36" s="36">
        <f t="shared" si="17"/>
        <v>7</v>
      </c>
      <c r="W36" s="35"/>
      <c r="X36" s="35"/>
      <c r="Y36" s="35" t="str">
        <f t="shared" si="18"/>
        <v>Corp. Issuers</v>
      </c>
      <c r="Z36" s="79">
        <f t="shared" si="19"/>
        <v>0</v>
      </c>
      <c r="AA36" s="79">
        <v>1</v>
      </c>
      <c r="AB36" s="79" t="str">
        <f t="shared" si="20"/>
        <v/>
      </c>
      <c r="AC36" s="79">
        <v>1</v>
      </c>
      <c r="AD36" s="79">
        <f t="shared" si="21"/>
        <v>0</v>
      </c>
      <c r="AE36" s="79">
        <v>1</v>
      </c>
      <c r="AF36" s="79" t="str">
        <f t="shared" si="22"/>
        <v/>
      </c>
      <c r="AG36" s="79">
        <v>1</v>
      </c>
      <c r="AH36" s="79">
        <f t="shared" si="23"/>
        <v>0.44545454545454549</v>
      </c>
      <c r="AI36" s="79">
        <v>1</v>
      </c>
      <c r="AJ36" s="35"/>
    </row>
    <row r="37" spans="2:39">
      <c r="B37" s="137">
        <v>2.5</v>
      </c>
      <c r="C37" s="164" t="s">
        <v>22</v>
      </c>
      <c r="D37" s="165">
        <f>SUMIFS(Master_Data[Duration (hh:mm)],Master_Data[Subject],'📊 Progress'!C37,Master_Data[Lectures],"d")</f>
        <v>0</v>
      </c>
      <c r="E37" s="166">
        <f>SUMIF(Master_Data[Subject],'📊 Progress'!C37,Master_Data[Duration (hh:mm)])</f>
        <v>1.3798611111111112</v>
      </c>
      <c r="F37" s="167">
        <f>SUMIFS(Master_Data[No. of Chapters],Master_Data[Subject],C37,Master_Data[Self Study],"D",Master_Data[Lectures],"D")</f>
        <v>0</v>
      </c>
      <c r="G37" s="167">
        <f>SUMIFS(Master_Data[No. of Chapters],Master_Data[Subject],'📊 Progress'!$C37,Master_Data[Inst. EOC Ques.],"D")</f>
        <v>0</v>
      </c>
      <c r="H37" s="167">
        <f>SUMIFS(Master_Data[No. of Chapters],Master_Data[Subject],'📊 Progress'!$C37,Master_Data[Class Test Book],"D")</f>
        <v>0</v>
      </c>
      <c r="I37" s="167">
        <f>SUMIFS(Master_Data[No. of Chapters],Master_Data[Subject],'📊 Progress'!$C37,Master_Data[Revision],"D")</f>
        <v>0</v>
      </c>
      <c r="J37" s="167">
        <f>SUMIFS(Master_Data[No. of Chapters],Master_Data[Subject],'📊 Progress'!$C37,Master_Data[Inst. Online Portal],"D")</f>
        <v>0</v>
      </c>
      <c r="K37" s="167">
        <f>SUMIFS(Master_Data[No. of Chapters],Master_Data[Subject],'📊 Progress'!$C37,Master_Data[Prac. Book],"D")</f>
        <v>0</v>
      </c>
      <c r="L37" s="167">
        <f>SUMIFS(Master_Data[No. of Chapters],Master_Data[Subject],'📊 Progress'!$C37,Master_Data[Schweser Prac. Bk 1],"D")</f>
        <v>0</v>
      </c>
      <c r="M37" s="167">
        <f>SUMIFS(Master_Data[No. of Chapters],Master_Data[Subject],'📊 Progress'!$C37,Master_Data[Schweser Prac. Bk 2],"D")</f>
        <v>0</v>
      </c>
      <c r="N37" s="168">
        <f>SUMIF(Master_Data[Subject],'📊 Progress'!C37,Master_Data[Subjectwise weighted average])</f>
        <v>2.3548387096774195</v>
      </c>
      <c r="O37" s="169">
        <f>SUMIFS(Master_Data[No. of Chapters],Master_Data[Subject],'📊 Progress'!C37)</f>
        <v>8</v>
      </c>
      <c r="P37" s="36">
        <f t="shared" si="11"/>
        <v>0</v>
      </c>
      <c r="Q37" s="36">
        <f t="shared" si="12"/>
        <v>8</v>
      </c>
      <c r="R37" s="36">
        <f t="shared" si="13"/>
        <v>0</v>
      </c>
      <c r="S37" s="36">
        <f t="shared" si="14"/>
        <v>8</v>
      </c>
      <c r="T37" s="36">
        <f t="shared" si="15"/>
        <v>8</v>
      </c>
      <c r="U37" s="36">
        <f t="shared" si="16"/>
        <v>0</v>
      </c>
      <c r="V37" s="36">
        <f t="shared" si="17"/>
        <v>8</v>
      </c>
      <c r="W37" s="35"/>
      <c r="X37" s="35"/>
      <c r="Y37" s="35" t="str">
        <f t="shared" si="18"/>
        <v>Equity</v>
      </c>
      <c r="Z37" s="79">
        <f t="shared" si="19"/>
        <v>0</v>
      </c>
      <c r="AA37" s="79">
        <v>1</v>
      </c>
      <c r="AB37" s="79" t="str">
        <f t="shared" si="20"/>
        <v/>
      </c>
      <c r="AC37" s="79">
        <v>1</v>
      </c>
      <c r="AD37" s="79">
        <f t="shared" si="21"/>
        <v>0</v>
      </c>
      <c r="AE37" s="79">
        <v>1</v>
      </c>
      <c r="AF37" s="79" t="str">
        <f t="shared" si="22"/>
        <v/>
      </c>
      <c r="AG37" s="79">
        <v>1</v>
      </c>
      <c r="AH37" s="79">
        <f t="shared" si="23"/>
        <v>0.47096774193548391</v>
      </c>
      <c r="AI37" s="79"/>
      <c r="AJ37" s="35"/>
    </row>
    <row r="38" spans="2:39">
      <c r="B38" s="137">
        <v>2.5</v>
      </c>
      <c r="C38" s="164" t="s">
        <v>25</v>
      </c>
      <c r="D38" s="165">
        <f>SUMIFS(Master_Data[Duration (hh:mm)],Master_Data[Subject],'📊 Progress'!C38,Master_Data[Lectures],"d")</f>
        <v>0</v>
      </c>
      <c r="E38" s="166">
        <f>SUMIF(Master_Data[Subject],'📊 Progress'!C38,Master_Data[Duration (hh:mm)])</f>
        <v>2.1909722222222219</v>
      </c>
      <c r="F38" s="167">
        <f>SUMIFS(Master_Data[No. of Chapters],Master_Data[Subject],C38,Master_Data[Self Study],"D",Master_Data[Lectures],"D")</f>
        <v>0</v>
      </c>
      <c r="G38" s="167">
        <f>SUMIFS(Master_Data[No. of Chapters],Master_Data[Subject],'📊 Progress'!$C38,Master_Data[Inst. EOC Ques.],"D")</f>
        <v>0</v>
      </c>
      <c r="H38" s="167">
        <f>SUMIFS(Master_Data[No. of Chapters],Master_Data[Subject],'📊 Progress'!$C38,Master_Data[Class Test Book],"D")</f>
        <v>0</v>
      </c>
      <c r="I38" s="167">
        <f>SUMIFS(Master_Data[No. of Chapters],Master_Data[Subject],'📊 Progress'!$C38,Master_Data[Revision],"D")</f>
        <v>0</v>
      </c>
      <c r="J38" s="167">
        <f>SUMIFS(Master_Data[No. of Chapters],Master_Data[Subject],'📊 Progress'!$C38,Master_Data[Inst. Online Portal],"D")</f>
        <v>0</v>
      </c>
      <c r="K38" s="167">
        <f>SUMIFS(Master_Data[No. of Chapters],Master_Data[Subject],'📊 Progress'!$C38,Master_Data[Prac. Book],"D")</f>
        <v>0</v>
      </c>
      <c r="L38" s="167">
        <f>SUMIFS(Master_Data[No. of Chapters],Master_Data[Subject],'📊 Progress'!$C38,Master_Data[Schweser Prac. Bk 1],"D")</f>
        <v>0</v>
      </c>
      <c r="M38" s="167">
        <f>SUMIFS(Master_Data[No. of Chapters],Master_Data[Subject],'📊 Progress'!$C38,Master_Data[Schweser Prac. Bk 2],"D")</f>
        <v>0</v>
      </c>
      <c r="N38" s="168">
        <f>SUMIF(Master_Data[Subject],'📊 Progress'!C38,Master_Data[Subjectwise weighted average])</f>
        <v>2.5686274509803919</v>
      </c>
      <c r="O38" s="169">
        <f>SUMIFS(Master_Data[No. of Chapters],Master_Data[Subject],'📊 Progress'!C38)</f>
        <v>19</v>
      </c>
      <c r="P38" s="36">
        <f t="shared" si="11"/>
        <v>0</v>
      </c>
      <c r="Q38" s="36">
        <f t="shared" si="12"/>
        <v>19</v>
      </c>
      <c r="R38" s="36">
        <f t="shared" si="13"/>
        <v>0</v>
      </c>
      <c r="S38" s="36">
        <f t="shared" si="14"/>
        <v>19</v>
      </c>
      <c r="T38" s="36">
        <f t="shared" si="15"/>
        <v>19</v>
      </c>
      <c r="U38" s="36">
        <f t="shared" si="16"/>
        <v>0</v>
      </c>
      <c r="V38" s="36">
        <f t="shared" si="17"/>
        <v>19</v>
      </c>
      <c r="W38" s="35"/>
      <c r="X38" s="35"/>
      <c r="Y38" s="35" t="str">
        <f t="shared" si="18"/>
        <v>Fixed Income</v>
      </c>
      <c r="Z38" s="79">
        <f t="shared" si="19"/>
        <v>0</v>
      </c>
      <c r="AA38" s="79">
        <v>1</v>
      </c>
      <c r="AB38" s="79" t="str">
        <f t="shared" si="20"/>
        <v/>
      </c>
      <c r="AC38" s="79">
        <v>1</v>
      </c>
      <c r="AD38" s="79">
        <f t="shared" si="21"/>
        <v>0</v>
      </c>
      <c r="AE38" s="79">
        <v>1</v>
      </c>
      <c r="AF38" s="79" t="str">
        <f t="shared" si="22"/>
        <v/>
      </c>
      <c r="AG38" s="79">
        <v>1</v>
      </c>
      <c r="AH38" s="79">
        <f t="shared" si="23"/>
        <v>0.51372549019607838</v>
      </c>
      <c r="AI38" s="79">
        <v>1</v>
      </c>
      <c r="AJ38" s="35"/>
    </row>
    <row r="39" spans="2:39">
      <c r="B39" s="137">
        <v>2.5</v>
      </c>
      <c r="C39" s="164" t="s">
        <v>26</v>
      </c>
      <c r="D39" s="165">
        <f>SUMIFS(Master_Data[Duration (hh:mm)],Master_Data[Subject],'📊 Progress'!C39,Master_Data[Lectures],"d")</f>
        <v>0</v>
      </c>
      <c r="E39" s="166">
        <f>SUMIF(Master_Data[Subject],'📊 Progress'!C39,Master_Data[Duration (hh:mm)])</f>
        <v>1.1347222222222222</v>
      </c>
      <c r="F39" s="167">
        <f>SUMIFS(Master_Data[No. of Chapters],Master_Data[Subject],C39,Master_Data[Self Study],"D",Master_Data[Lectures],"D")</f>
        <v>0</v>
      </c>
      <c r="G39" s="167">
        <f>SUMIFS(Master_Data[No. of Chapters],Master_Data[Subject],'📊 Progress'!$C39,Master_Data[Inst. EOC Ques.],"D")</f>
        <v>0</v>
      </c>
      <c r="H39" s="167">
        <f>SUMIFS(Master_Data[No. of Chapters],Master_Data[Subject],'📊 Progress'!$C39,Master_Data[Class Test Book],"D")</f>
        <v>0</v>
      </c>
      <c r="I39" s="167">
        <f>SUMIFS(Master_Data[No. of Chapters],Master_Data[Subject],'📊 Progress'!$C39,Master_Data[Revision],"D")</f>
        <v>0</v>
      </c>
      <c r="J39" s="167">
        <f>SUMIFS(Master_Data[No. of Chapters],Master_Data[Subject],'📊 Progress'!$C39,Master_Data[Inst. Online Portal],"D")</f>
        <v>0</v>
      </c>
      <c r="K39" s="167">
        <f>SUMIFS(Master_Data[No. of Chapters],Master_Data[Subject],'📊 Progress'!$C39,Master_Data[Prac. Book],"D")</f>
        <v>0</v>
      </c>
      <c r="L39" s="167">
        <f>SUMIFS(Master_Data[No. of Chapters],Master_Data[Subject],'📊 Progress'!$C39,Master_Data[Schweser Prac. Bk 1],"D")</f>
        <v>0</v>
      </c>
      <c r="M39" s="167">
        <f>SUMIFS(Master_Data[No. of Chapters],Master_Data[Subject],'📊 Progress'!$C39,Master_Data[Schweser Prac. Bk 2],"D")</f>
        <v>0</v>
      </c>
      <c r="N39" s="168">
        <f>SUMIF(Master_Data[Subject],'📊 Progress'!C39,Master_Data[Subjectwise weighted average])</f>
        <v>2.333333333333333</v>
      </c>
      <c r="O39" s="169">
        <f>SUMIFS(Master_Data[No. of Chapters],Master_Data[Subject],'📊 Progress'!C39)</f>
        <v>10</v>
      </c>
      <c r="P39" s="36">
        <f t="shared" si="11"/>
        <v>0</v>
      </c>
      <c r="Q39" s="36">
        <f t="shared" si="12"/>
        <v>10</v>
      </c>
      <c r="R39" s="36">
        <f t="shared" si="13"/>
        <v>0</v>
      </c>
      <c r="S39" s="36">
        <f t="shared" si="14"/>
        <v>10</v>
      </c>
      <c r="T39" s="36">
        <f t="shared" si="15"/>
        <v>10</v>
      </c>
      <c r="U39" s="36">
        <f t="shared" si="16"/>
        <v>0</v>
      </c>
      <c r="V39" s="36">
        <f t="shared" si="17"/>
        <v>10</v>
      </c>
      <c r="W39" s="35"/>
      <c r="X39" s="35"/>
      <c r="Y39" s="35" t="str">
        <f t="shared" si="18"/>
        <v>Derivatives</v>
      </c>
      <c r="Z39" s="79">
        <f t="shared" si="19"/>
        <v>0</v>
      </c>
      <c r="AA39" s="79">
        <v>1</v>
      </c>
      <c r="AB39" s="79" t="str">
        <f t="shared" si="20"/>
        <v/>
      </c>
      <c r="AC39" s="79">
        <v>1</v>
      </c>
      <c r="AD39" s="79">
        <f t="shared" si="21"/>
        <v>0</v>
      </c>
      <c r="AE39" s="79">
        <v>1</v>
      </c>
      <c r="AF39" s="79" t="str">
        <f t="shared" si="22"/>
        <v/>
      </c>
      <c r="AG39" s="79">
        <v>1</v>
      </c>
      <c r="AH39" s="79">
        <f t="shared" si="23"/>
        <v>0.46666666666666662</v>
      </c>
      <c r="AI39" s="79">
        <v>1</v>
      </c>
      <c r="AJ39" s="35"/>
    </row>
    <row r="40" spans="2:39">
      <c r="B40" s="137">
        <v>2.5</v>
      </c>
      <c r="C40" s="164" t="s">
        <v>232</v>
      </c>
      <c r="D40" s="165">
        <f>SUMIFS(Master_Data[Duration (hh:mm)],Master_Data[Subject],'📊 Progress'!C40,Master_Data[Lectures],"d")</f>
        <v>0</v>
      </c>
      <c r="E40" s="166">
        <f>SUMIF(Master_Data[Subject],'📊 Progress'!C40,Master_Data[Duration (hh:mm)])</f>
        <v>0.75138888888888899</v>
      </c>
      <c r="F40" s="167">
        <f>SUMIFS(Master_Data[No. of Chapters],Master_Data[Subject],C40,Master_Data[Self Study],"D",Master_Data[Lectures],"D")</f>
        <v>0</v>
      </c>
      <c r="G40" s="167">
        <f>SUMIFS(Master_Data[No. of Chapters],Master_Data[Subject],'📊 Progress'!$C40,Master_Data[Inst. EOC Ques.],"D")</f>
        <v>0</v>
      </c>
      <c r="H40" s="167">
        <f>SUMIFS(Master_Data[No. of Chapters],Master_Data[Subject],'📊 Progress'!$C40,Master_Data[Class Test Book],"D")</f>
        <v>0</v>
      </c>
      <c r="I40" s="167">
        <f>SUMIFS(Master_Data[No. of Chapters],Master_Data[Subject],'📊 Progress'!$C40,Master_Data[Revision],"D")</f>
        <v>0</v>
      </c>
      <c r="J40" s="167">
        <f>SUMIFS(Master_Data[No. of Chapters],Master_Data[Subject],'📊 Progress'!$C40,Master_Data[Inst. Online Portal],"D")</f>
        <v>0</v>
      </c>
      <c r="K40" s="167">
        <f>SUMIFS(Master_Data[No. of Chapters],Master_Data[Subject],'📊 Progress'!$C40,Master_Data[Prac. Book],"D")</f>
        <v>0</v>
      </c>
      <c r="L40" s="167">
        <f>SUMIFS(Master_Data[No. of Chapters],Master_Data[Subject],'📊 Progress'!$C40,Master_Data[Schweser Prac. Bk 1],"D")</f>
        <v>0</v>
      </c>
      <c r="M40" s="167">
        <f>SUMIFS(Master_Data[No. of Chapters],Master_Data[Subject],'📊 Progress'!$C40,Master_Data[Schweser Prac. Bk 2],"D")</f>
        <v>0</v>
      </c>
      <c r="N40" s="168">
        <f>SUMIF(Master_Data[Subject],'📊 Progress'!C40,Master_Data[Subjectwise weighted average])</f>
        <v>2.1666666666666665</v>
      </c>
      <c r="O40" s="169">
        <f>SUMIFS(Master_Data[No. of Chapters],Master_Data[Subject],'📊 Progress'!C40)</f>
        <v>7</v>
      </c>
      <c r="P40" s="36">
        <f t="shared" si="11"/>
        <v>0</v>
      </c>
      <c r="Q40" s="36">
        <f t="shared" si="12"/>
        <v>7</v>
      </c>
      <c r="R40" s="36">
        <f t="shared" si="13"/>
        <v>0</v>
      </c>
      <c r="S40" s="36">
        <f t="shared" si="14"/>
        <v>7</v>
      </c>
      <c r="T40" s="36">
        <f t="shared" si="15"/>
        <v>7</v>
      </c>
      <c r="U40" s="36">
        <f t="shared" si="16"/>
        <v>0</v>
      </c>
      <c r="V40" s="36">
        <f t="shared" si="17"/>
        <v>7</v>
      </c>
      <c r="W40" s="35"/>
      <c r="X40" s="35"/>
      <c r="Y40" s="35" t="str">
        <f t="shared" si="18"/>
        <v>Alt. Invest.</v>
      </c>
      <c r="Z40" s="79">
        <f t="shared" si="19"/>
        <v>0</v>
      </c>
      <c r="AA40" s="79">
        <v>1</v>
      </c>
      <c r="AB40" s="79" t="str">
        <f t="shared" si="20"/>
        <v/>
      </c>
      <c r="AC40" s="79">
        <v>1</v>
      </c>
      <c r="AD40" s="79">
        <f t="shared" si="21"/>
        <v>0</v>
      </c>
      <c r="AE40" s="79">
        <v>1</v>
      </c>
      <c r="AF40" s="79" t="str">
        <f t="shared" si="22"/>
        <v/>
      </c>
      <c r="AG40" s="79">
        <v>1</v>
      </c>
      <c r="AH40" s="79">
        <f t="shared" si="23"/>
        <v>0.43333333333333329</v>
      </c>
      <c r="AI40" s="79">
        <v>1</v>
      </c>
      <c r="AJ40" s="35"/>
    </row>
    <row r="41" spans="2:39">
      <c r="B41" s="137">
        <v>2.5</v>
      </c>
      <c r="C41" s="164" t="s">
        <v>277</v>
      </c>
      <c r="D41" s="165">
        <f>SUMIFS(Master_Data[Duration (hh:mm)],Master_Data[Subject],'📊 Progress'!C41,Master_Data[Lectures],"d")</f>
        <v>0</v>
      </c>
      <c r="E41" s="166">
        <f>SUMIF(Master_Data[Subject],'📊 Progress'!C41,Master_Data[Duration (hh:mm)])</f>
        <v>0.84027777777777779</v>
      </c>
      <c r="F41" s="167">
        <f>SUMIFS(Master_Data[No. of Chapters],Master_Data[Subject],C41,Master_Data[Self Study],"D",Master_Data[Lectures],"D")</f>
        <v>0</v>
      </c>
      <c r="G41" s="167">
        <f>SUMIFS(Master_Data[No. of Chapters],Master_Data[Subject],'📊 Progress'!$C41,Master_Data[Inst. EOC Ques.],"D")</f>
        <v>0</v>
      </c>
      <c r="H41" s="167">
        <f>SUMIFS(Master_Data[No. of Chapters],Master_Data[Subject],'📊 Progress'!$C41,Master_Data[Class Test Book],"D")</f>
        <v>0</v>
      </c>
      <c r="I41" s="167">
        <f>SUMIFS(Master_Data[No. of Chapters],Master_Data[Subject],'📊 Progress'!$C41,Master_Data[Revision],"D")</f>
        <v>0</v>
      </c>
      <c r="J41" s="167">
        <f>SUMIFS(Master_Data[No. of Chapters],Master_Data[Subject],'📊 Progress'!$C41,Master_Data[Inst. Online Portal],"D")</f>
        <v>0</v>
      </c>
      <c r="K41" s="167">
        <f>SUMIFS(Master_Data[No. of Chapters],Master_Data[Subject],'📊 Progress'!$C41,Master_Data[Prac. Book],"D")</f>
        <v>0</v>
      </c>
      <c r="L41" s="167">
        <f>SUMIFS(Master_Data[No. of Chapters],Master_Data[Subject],'📊 Progress'!$C41,Master_Data[Schweser Prac. Bk 1],"D")</f>
        <v>0</v>
      </c>
      <c r="M41" s="167">
        <f>SUMIFS(Master_Data[No. of Chapters],Master_Data[Subject],'📊 Progress'!$C41,Master_Data[Schweser Prac. Bk 2],"D")</f>
        <v>0</v>
      </c>
      <c r="N41" s="168">
        <f>SUMIF(Master_Data[Subject],'📊 Progress'!C41,Master_Data[Subjectwise weighted average])</f>
        <v>2.6</v>
      </c>
      <c r="O41" s="169">
        <f>SUMIFS(Master_Data[No. of Chapters],Master_Data[Subject],'📊 Progress'!C41)</f>
        <v>6</v>
      </c>
      <c r="P41" s="36">
        <f t="shared" si="11"/>
        <v>0</v>
      </c>
      <c r="Q41" s="36">
        <f t="shared" si="12"/>
        <v>6</v>
      </c>
      <c r="R41" s="36">
        <f t="shared" si="13"/>
        <v>0</v>
      </c>
      <c r="S41" s="36">
        <f t="shared" si="14"/>
        <v>6</v>
      </c>
      <c r="T41" s="36">
        <f t="shared" si="15"/>
        <v>6</v>
      </c>
      <c r="U41" s="36">
        <f t="shared" si="16"/>
        <v>0</v>
      </c>
      <c r="V41" s="36">
        <f t="shared" si="17"/>
        <v>6</v>
      </c>
      <c r="W41" s="35"/>
      <c r="X41" s="35"/>
      <c r="Y41" s="35" t="str">
        <f t="shared" si="18"/>
        <v>Portfolio-1 and 2</v>
      </c>
      <c r="Z41" s="79">
        <f t="shared" si="19"/>
        <v>0</v>
      </c>
      <c r="AA41" s="79">
        <v>1</v>
      </c>
      <c r="AB41" s="79" t="str">
        <f t="shared" si="20"/>
        <v/>
      </c>
      <c r="AC41" s="79">
        <v>1</v>
      </c>
      <c r="AD41" s="79">
        <f t="shared" si="21"/>
        <v>0</v>
      </c>
      <c r="AE41" s="79">
        <v>1</v>
      </c>
      <c r="AF41" s="79" t="str">
        <f t="shared" si="22"/>
        <v/>
      </c>
      <c r="AG41" s="79">
        <v>1</v>
      </c>
      <c r="AH41" s="79">
        <f t="shared" si="23"/>
        <v>0.52</v>
      </c>
      <c r="AI41" s="79">
        <v>1</v>
      </c>
      <c r="AJ41" s="35"/>
    </row>
    <row r="42" spans="2:39">
      <c r="B42" s="137">
        <v>2.5</v>
      </c>
      <c r="C42" s="164" t="s">
        <v>11</v>
      </c>
      <c r="D42" s="165">
        <f>SUMIFS(Master_Data[Duration (hh:mm)],Master_Data[Subject],'📊 Progress'!C42,Master_Data[Lectures],"d")</f>
        <v>0</v>
      </c>
      <c r="E42" s="166">
        <f>SUMIF(Master_Data[Subject],'📊 Progress'!C42,Master_Data[Duration (hh:mm)])</f>
        <v>0.36805555555555558</v>
      </c>
      <c r="F42" s="167">
        <f>SUMIFS(Master_Data[No. of Chapters],Master_Data[Subject],C42,Master_Data[Self Study],"D",Master_Data[Lectures],"D")</f>
        <v>0</v>
      </c>
      <c r="G42" s="167">
        <f>SUMIFS(Master_Data[No. of Chapters],Master_Data[Subject],'📊 Progress'!$C42,Master_Data[Inst. EOC Ques.],"D")</f>
        <v>0</v>
      </c>
      <c r="H42" s="167">
        <f>SUMIFS(Master_Data[No. of Chapters],Master_Data[Subject],'📊 Progress'!$C42,Master_Data[Class Test Book],"D")</f>
        <v>0</v>
      </c>
      <c r="I42" s="167">
        <f>SUMIFS(Master_Data[No. of Chapters],Master_Data[Subject],'📊 Progress'!$C42,Master_Data[Revision],"D")</f>
        <v>0</v>
      </c>
      <c r="J42" s="167">
        <f>SUMIFS(Master_Data[No. of Chapters],Master_Data[Subject],'📊 Progress'!$C42,Master_Data[Inst. Online Portal],"D")</f>
        <v>0</v>
      </c>
      <c r="K42" s="167">
        <f>SUMIFS(Master_Data[No. of Chapters],Master_Data[Subject],'📊 Progress'!$C42,Master_Data[Prac. Book],"D")</f>
        <v>0</v>
      </c>
      <c r="L42" s="167">
        <f>SUMIFS(Master_Data[No. of Chapters],Master_Data[Subject],'📊 Progress'!$C42,Master_Data[Schweser Prac. Bk 1],"D")</f>
        <v>0</v>
      </c>
      <c r="M42" s="167">
        <f>SUMIFS(Master_Data[No. of Chapters],Master_Data[Subject],'📊 Progress'!$C42,Master_Data[Schweser Prac. Bk 2],"D")</f>
        <v>0</v>
      </c>
      <c r="N42" s="168">
        <f>SUMIF(Master_Data[Subject],'📊 Progress'!C42,Master_Data[Subjectwise weighted average])</f>
        <v>2.5833333333333335</v>
      </c>
      <c r="O42" s="169">
        <f>SUMIFS(Master_Data[No. of Chapters],Master_Data[Subject],'📊 Progress'!C42)</f>
        <v>5</v>
      </c>
      <c r="P42" s="36">
        <f t="shared" ref="P42" si="24">ROUND(AVERAGE(G42:H42),0)</f>
        <v>0</v>
      </c>
      <c r="Q42" s="36">
        <f t="shared" si="0"/>
        <v>5</v>
      </c>
      <c r="R42" s="36">
        <f t="shared" si="1"/>
        <v>0</v>
      </c>
      <c r="S42" s="36">
        <f t="shared" si="2"/>
        <v>5</v>
      </c>
      <c r="T42" s="36">
        <f t="shared" si="3"/>
        <v>5</v>
      </c>
      <c r="U42" s="36">
        <f t="shared" ref="U42" si="25">ROUND(AVERAGE(J42:M42),0)</f>
        <v>0</v>
      </c>
      <c r="V42" s="36">
        <f t="shared" si="4"/>
        <v>5</v>
      </c>
      <c r="W42" s="35"/>
      <c r="X42" s="35"/>
      <c r="Y42" s="35" t="str">
        <f t="shared" si="5"/>
        <v>Ethics</v>
      </c>
      <c r="Z42" s="79">
        <f t="shared" si="6"/>
        <v>0</v>
      </c>
      <c r="AA42" s="79">
        <v>1</v>
      </c>
      <c r="AB42" s="79" t="str">
        <f t="shared" si="7"/>
        <v/>
      </c>
      <c r="AC42" s="79">
        <v>1</v>
      </c>
      <c r="AD42" s="79">
        <f t="shared" si="8"/>
        <v>0</v>
      </c>
      <c r="AE42" s="79">
        <v>1</v>
      </c>
      <c r="AF42" s="79" t="str">
        <f t="shared" si="9"/>
        <v/>
      </c>
      <c r="AG42" s="79">
        <v>1</v>
      </c>
      <c r="AH42" s="79">
        <f t="shared" si="10"/>
        <v>0.51666666666666672</v>
      </c>
      <c r="AI42" s="79">
        <v>1</v>
      </c>
      <c r="AJ42" s="35"/>
    </row>
    <row r="43" spans="2:39" s="31" customFormat="1" ht="18.75">
      <c r="C43" s="170" t="s">
        <v>7</v>
      </c>
      <c r="D43" s="171">
        <f t="shared" ref="D43:M43" si="26">SUM(D33:D42)</f>
        <v>0</v>
      </c>
      <c r="E43" s="171">
        <f t="shared" si="26"/>
        <v>13.384722222222221</v>
      </c>
      <c r="F43" s="172">
        <f t="shared" si="26"/>
        <v>0</v>
      </c>
      <c r="G43" s="172">
        <f t="shared" si="26"/>
        <v>0</v>
      </c>
      <c r="H43" s="172">
        <f t="shared" si="26"/>
        <v>0</v>
      </c>
      <c r="I43" s="172">
        <f t="shared" si="26"/>
        <v>0</v>
      </c>
      <c r="J43" s="172">
        <f t="shared" si="26"/>
        <v>0</v>
      </c>
      <c r="K43" s="172">
        <f t="shared" si="26"/>
        <v>0</v>
      </c>
      <c r="L43" s="172">
        <f t="shared" si="26"/>
        <v>0</v>
      </c>
      <c r="M43" s="172">
        <f t="shared" si="26"/>
        <v>0</v>
      </c>
      <c r="N43" s="173">
        <f>'⏱ Input'!AE4</f>
        <v>5</v>
      </c>
      <c r="O43" s="172">
        <f>SUM(O33:O42)</f>
        <v>116</v>
      </c>
      <c r="P43" s="78"/>
      <c r="Q43" s="33"/>
      <c r="R43" s="33"/>
      <c r="S43" s="184">
        <f>SUM(S33:S42)</f>
        <v>116</v>
      </c>
      <c r="T43" s="37"/>
      <c r="U43" s="37"/>
      <c r="V43" s="33"/>
      <c r="W43" s="33"/>
      <c r="X43" s="34"/>
      <c r="Y43" s="34"/>
      <c r="Z43" s="34"/>
      <c r="AA43" s="34"/>
      <c r="AB43" s="34"/>
      <c r="AC43" s="34"/>
      <c r="AD43" s="34"/>
      <c r="AE43" s="34"/>
      <c r="AF43" s="34"/>
      <c r="AG43" s="34"/>
      <c r="AH43" s="33"/>
      <c r="AI43" s="33"/>
    </row>
    <row r="44" spans="2:39" ht="15" customHeight="1">
      <c r="C44" s="30"/>
      <c r="D44" s="30"/>
      <c r="E44" s="30"/>
      <c r="F44" s="30"/>
      <c r="G44" s="39"/>
      <c r="H44" s="30"/>
      <c r="I44" s="39"/>
      <c r="J44" s="39"/>
      <c r="K44" s="39"/>
      <c r="L44" s="39"/>
      <c r="M44" s="39"/>
      <c r="N44" s="39"/>
      <c r="O44" s="39"/>
      <c r="P44" s="38"/>
      <c r="Q44" s="38"/>
      <c r="R44" s="38"/>
      <c r="S44" s="38"/>
      <c r="T44" s="35"/>
      <c r="U44" s="35"/>
      <c r="V44" s="35"/>
      <c r="W44" s="35"/>
      <c r="X44" s="32"/>
      <c r="Y44" s="32"/>
      <c r="Z44" s="32"/>
      <c r="AA44" s="32"/>
      <c r="AB44" s="32"/>
      <c r="AC44" s="32"/>
      <c r="AD44" s="32"/>
      <c r="AE44" s="32"/>
      <c r="AF44" s="32"/>
      <c r="AG44" s="32"/>
      <c r="AH44" s="30"/>
      <c r="AI44" s="30"/>
      <c r="AJ44" s="30"/>
      <c r="AK44" s="30"/>
      <c r="AL44" s="30"/>
      <c r="AM44" s="30"/>
    </row>
    <row r="45" spans="2:39">
      <c r="B45" s="30"/>
      <c r="C45" s="30"/>
      <c r="D45" s="30"/>
      <c r="E45" s="30"/>
      <c r="F45" s="30"/>
      <c r="G45" s="30"/>
      <c r="H45" s="39"/>
      <c r="X45" s="29"/>
      <c r="Y45" s="29"/>
      <c r="Z45" s="29"/>
      <c r="AA45" s="29"/>
      <c r="AB45" s="29"/>
      <c r="AC45" s="29"/>
      <c r="AD45" s="29"/>
      <c r="AE45" s="29"/>
      <c r="AF45" s="29"/>
      <c r="AG45" s="30"/>
      <c r="AH45" s="30"/>
      <c r="AI45" s="30"/>
      <c r="AJ45" s="30"/>
      <c r="AK45" s="30"/>
      <c r="AL45" s="30"/>
      <c r="AM45" s="30"/>
    </row>
    <row r="46" spans="2:39">
      <c r="B46" s="30"/>
      <c r="D46" s="30"/>
      <c r="E46" s="30"/>
      <c r="F46" s="30"/>
      <c r="G46" s="30"/>
      <c r="H46" s="30"/>
      <c r="X46" s="29"/>
      <c r="Y46" s="29"/>
      <c r="Z46" s="29"/>
      <c r="AA46" s="29"/>
      <c r="AB46" s="29"/>
      <c r="AC46" s="29"/>
      <c r="AD46" s="29"/>
      <c r="AE46" s="29"/>
      <c r="AF46" s="29"/>
      <c r="AG46" s="30"/>
      <c r="AH46" s="30"/>
      <c r="AI46" s="30"/>
      <c r="AJ46" s="30"/>
      <c r="AK46" s="30"/>
      <c r="AL46" s="30"/>
      <c r="AM46" s="30"/>
    </row>
    <row r="47" spans="2:39">
      <c r="B47" s="30"/>
      <c r="D47" s="30"/>
      <c r="E47" s="30"/>
      <c r="F47" s="30"/>
      <c r="H47" s="30"/>
      <c r="X47" s="29"/>
      <c r="Y47" s="29"/>
      <c r="Z47" s="29"/>
      <c r="AA47" s="29"/>
      <c r="AB47" s="29"/>
      <c r="AC47" s="29"/>
      <c r="AD47" s="29"/>
      <c r="AE47" s="29"/>
      <c r="AF47" s="29"/>
      <c r="AG47" s="30"/>
      <c r="AH47" s="30"/>
      <c r="AI47" s="30"/>
      <c r="AJ47" s="30"/>
      <c r="AK47" s="30"/>
      <c r="AL47" s="30"/>
      <c r="AM47" s="30"/>
    </row>
    <row r="48" spans="2:39">
      <c r="D48" s="30"/>
      <c r="E48" s="30"/>
      <c r="F48" s="30"/>
      <c r="G48" s="30"/>
      <c r="I48" s="28"/>
      <c r="J48" s="28"/>
      <c r="K48" s="28"/>
      <c r="L48" s="28"/>
      <c r="M48" s="28"/>
      <c r="N48" s="28"/>
      <c r="O48" s="30"/>
      <c r="X48" s="29"/>
      <c r="Y48" s="29"/>
      <c r="Z48" s="29"/>
      <c r="AA48" s="29"/>
      <c r="AB48" s="29"/>
      <c r="AC48" s="29"/>
      <c r="AD48" s="29"/>
      <c r="AE48" s="29"/>
      <c r="AF48" s="29"/>
      <c r="AG48" s="30"/>
      <c r="AH48" s="30"/>
      <c r="AI48" s="30"/>
      <c r="AJ48" s="30"/>
      <c r="AK48" s="30"/>
      <c r="AL48" s="30"/>
      <c r="AM48" s="30"/>
    </row>
    <row r="49" spans="2:39">
      <c r="D49" s="30"/>
      <c r="E49" s="30"/>
      <c r="F49" s="30"/>
      <c r="G49" s="30"/>
      <c r="H49" s="30"/>
      <c r="O49" s="30"/>
      <c r="X49" s="29"/>
      <c r="Y49" s="29"/>
      <c r="Z49" s="29"/>
      <c r="AA49" s="29"/>
      <c r="AB49" s="29"/>
      <c r="AC49" s="29"/>
      <c r="AD49" s="29"/>
      <c r="AE49" s="29"/>
      <c r="AF49" s="29"/>
      <c r="AG49" s="30"/>
      <c r="AH49" s="30"/>
      <c r="AI49" s="30"/>
      <c r="AJ49" s="30"/>
      <c r="AK49" s="30"/>
      <c r="AL49" s="30"/>
      <c r="AM49" s="30"/>
    </row>
    <row r="50" spans="2:39">
      <c r="D50" s="30"/>
      <c r="E50" s="30"/>
      <c r="F50" s="30"/>
      <c r="G50" s="30"/>
      <c r="H50" s="30"/>
      <c r="O50" s="30"/>
      <c r="X50" s="29"/>
      <c r="Y50" s="29"/>
      <c r="Z50" s="29"/>
      <c r="AA50" s="29"/>
      <c r="AB50" s="29"/>
      <c r="AC50" s="29"/>
      <c r="AD50" s="29"/>
      <c r="AE50" s="29"/>
      <c r="AF50" s="29"/>
      <c r="AG50" s="30"/>
      <c r="AH50" s="30"/>
      <c r="AI50" s="30"/>
      <c r="AJ50" s="30"/>
      <c r="AK50" s="30"/>
      <c r="AL50" s="30"/>
      <c r="AM50" s="30"/>
    </row>
    <row r="51" spans="2:39">
      <c r="D51" s="30"/>
      <c r="E51" s="30"/>
      <c r="F51" s="30"/>
      <c r="G51" s="30"/>
      <c r="H51" s="30"/>
      <c r="O51" s="30"/>
      <c r="X51" s="29"/>
      <c r="Y51" s="29"/>
      <c r="Z51" s="29"/>
      <c r="AA51" s="29"/>
      <c r="AB51" s="29"/>
      <c r="AC51" s="29"/>
      <c r="AD51" s="29"/>
      <c r="AE51" s="29"/>
      <c r="AF51" s="29"/>
      <c r="AG51" s="30"/>
      <c r="AH51" s="30"/>
      <c r="AI51" s="30"/>
      <c r="AJ51" s="30"/>
      <c r="AK51" s="30"/>
      <c r="AL51" s="30"/>
      <c r="AM51" s="30"/>
    </row>
    <row r="52" spans="2:39">
      <c r="D52" s="30"/>
      <c r="E52" s="30"/>
      <c r="F52" s="30"/>
      <c r="G52" s="30"/>
      <c r="H52" s="30"/>
      <c r="O52" s="30"/>
      <c r="X52" s="29"/>
      <c r="Y52" s="29"/>
      <c r="Z52" s="29"/>
      <c r="AA52" s="29"/>
      <c r="AB52" s="29"/>
      <c r="AC52" s="29"/>
      <c r="AD52" s="29"/>
      <c r="AE52" s="29"/>
      <c r="AF52" s="29"/>
      <c r="AG52" s="30"/>
      <c r="AH52" s="30"/>
      <c r="AI52" s="30"/>
      <c r="AJ52" s="30"/>
      <c r="AK52" s="30"/>
      <c r="AL52" s="30"/>
      <c r="AM52" s="30"/>
    </row>
    <row r="53" spans="2:39">
      <c r="D53" s="30"/>
      <c r="E53" s="30"/>
      <c r="F53" s="30"/>
      <c r="G53" s="30"/>
      <c r="H53" s="30"/>
      <c r="O53" s="30"/>
      <c r="X53" s="29"/>
      <c r="Y53" s="29"/>
      <c r="Z53" s="29"/>
      <c r="AA53" s="29"/>
      <c r="AB53" s="29"/>
      <c r="AC53" s="29"/>
      <c r="AD53" s="29"/>
      <c r="AE53" s="29"/>
      <c r="AF53" s="29"/>
      <c r="AG53" s="30"/>
      <c r="AH53" s="30"/>
      <c r="AI53" s="30"/>
      <c r="AJ53" s="30"/>
      <c r="AK53" s="30"/>
      <c r="AL53" s="30"/>
      <c r="AM53" s="30"/>
    </row>
    <row r="54" spans="2:39">
      <c r="D54" s="30"/>
      <c r="E54" s="30"/>
      <c r="F54" s="30"/>
      <c r="G54" s="30"/>
      <c r="H54" s="30"/>
      <c r="O54" s="30"/>
      <c r="X54" s="29"/>
      <c r="Y54" s="29"/>
      <c r="Z54" s="29"/>
      <c r="AA54" s="29"/>
      <c r="AB54" s="29"/>
      <c r="AC54" s="29"/>
      <c r="AD54" s="29"/>
      <c r="AE54" s="29"/>
      <c r="AF54" s="29"/>
      <c r="AG54" s="30"/>
      <c r="AH54" s="30"/>
      <c r="AI54" s="30"/>
      <c r="AJ54" s="30"/>
      <c r="AK54" s="30"/>
      <c r="AL54" s="30"/>
      <c r="AM54" s="30"/>
    </row>
    <row r="55" spans="2:39">
      <c r="D55" s="30"/>
      <c r="E55" s="30"/>
      <c r="F55" s="30"/>
      <c r="G55" s="30"/>
      <c r="H55" s="30"/>
      <c r="O55" s="30"/>
      <c r="X55" s="29"/>
      <c r="Y55" s="29"/>
      <c r="Z55" s="29"/>
      <c r="AA55" s="29"/>
      <c r="AB55" s="29"/>
      <c r="AC55" s="29"/>
      <c r="AD55" s="29"/>
      <c r="AE55" s="29"/>
      <c r="AF55" s="29"/>
      <c r="AG55" s="30"/>
      <c r="AH55" s="30"/>
      <c r="AI55" s="30"/>
      <c r="AJ55" s="30"/>
      <c r="AK55" s="30"/>
      <c r="AL55" s="30"/>
      <c r="AM55" s="30"/>
    </row>
    <row r="56" spans="2:39">
      <c r="D56" s="30"/>
      <c r="E56" s="30"/>
      <c r="F56" s="30"/>
      <c r="G56" s="30"/>
      <c r="H56" s="30"/>
      <c r="O56" s="30"/>
      <c r="X56" s="29"/>
      <c r="Y56" s="29"/>
      <c r="Z56" s="29"/>
      <c r="AA56" s="29"/>
      <c r="AB56" s="29"/>
      <c r="AC56" s="29"/>
      <c r="AD56" s="29"/>
      <c r="AE56" s="29"/>
      <c r="AF56" s="29"/>
      <c r="AG56" s="30"/>
      <c r="AH56" s="30"/>
      <c r="AI56" s="30"/>
      <c r="AJ56" s="30"/>
      <c r="AK56" s="30"/>
      <c r="AL56" s="30"/>
      <c r="AM56" s="30"/>
    </row>
    <row r="57" spans="2:39">
      <c r="D57" s="30"/>
      <c r="E57" s="30"/>
      <c r="F57" s="30"/>
      <c r="G57" s="30"/>
      <c r="H57" s="30"/>
      <c r="O57" s="30"/>
      <c r="X57" s="29"/>
      <c r="Y57" s="29"/>
      <c r="Z57" s="29"/>
      <c r="AA57" s="29"/>
      <c r="AB57" s="29"/>
      <c r="AC57" s="29"/>
      <c r="AD57" s="29"/>
      <c r="AE57" s="29"/>
      <c r="AF57" s="29"/>
      <c r="AG57" s="30"/>
      <c r="AH57" s="30"/>
      <c r="AI57" s="30"/>
    </row>
    <row r="58" spans="2:39">
      <c r="D58" s="30"/>
      <c r="E58" s="30"/>
      <c r="F58" s="30"/>
      <c r="G58" s="30"/>
      <c r="H58" s="30"/>
      <c r="O58" s="30"/>
      <c r="X58" s="29"/>
      <c r="Y58" s="29"/>
      <c r="Z58" s="29"/>
      <c r="AA58" s="29"/>
      <c r="AB58" s="29"/>
      <c r="AC58" s="29"/>
      <c r="AD58" s="29"/>
      <c r="AE58" s="29"/>
      <c r="AF58" s="29"/>
      <c r="AG58" s="30"/>
      <c r="AH58" s="30"/>
      <c r="AI58" s="30"/>
    </row>
    <row r="59" spans="2:39">
      <c r="C59" s="30"/>
      <c r="D59" s="30"/>
      <c r="E59" s="30"/>
      <c r="F59" s="30"/>
      <c r="G59" s="30"/>
      <c r="H59" s="30"/>
      <c r="O59" s="30"/>
      <c r="X59" s="29"/>
      <c r="Y59" s="29"/>
      <c r="Z59" s="29"/>
      <c r="AA59" s="29"/>
      <c r="AB59" s="29"/>
      <c r="AC59" s="29"/>
      <c r="AD59" s="29"/>
      <c r="AE59" s="29"/>
      <c r="AF59" s="29"/>
      <c r="AG59" s="30"/>
      <c r="AH59" s="30"/>
      <c r="AI59" s="30"/>
    </row>
    <row r="60" spans="2:39">
      <c r="B60" s="30"/>
      <c r="C60" s="30"/>
      <c r="D60" s="30"/>
      <c r="E60" s="30"/>
      <c r="F60" s="30"/>
      <c r="G60" s="30"/>
      <c r="I60" s="28"/>
      <c r="J60" s="28"/>
      <c r="K60" s="28"/>
      <c r="L60" s="28"/>
      <c r="M60" s="28"/>
      <c r="N60" s="28"/>
      <c r="X60" s="29"/>
      <c r="Y60" s="29"/>
      <c r="Z60" s="29"/>
      <c r="AA60" s="29"/>
      <c r="AB60" s="29"/>
      <c r="AC60" s="29"/>
      <c r="AD60" s="29"/>
      <c r="AE60" s="29"/>
      <c r="AF60" s="29"/>
      <c r="AG60" s="30"/>
      <c r="AH60" s="30"/>
      <c r="AI60" s="30"/>
    </row>
    <row r="61" spans="2:39">
      <c r="B61" s="30"/>
      <c r="C61" s="30"/>
      <c r="D61" s="30"/>
      <c r="E61" s="30"/>
      <c r="F61" s="30"/>
      <c r="G61" s="30"/>
      <c r="I61" s="28"/>
      <c r="J61" s="28"/>
      <c r="K61" s="28"/>
      <c r="L61" s="28"/>
      <c r="M61" s="28"/>
      <c r="N61" s="28"/>
      <c r="X61" s="29"/>
      <c r="Y61" s="29"/>
      <c r="Z61" s="29"/>
      <c r="AA61" s="29"/>
      <c r="AB61" s="29"/>
      <c r="AC61" s="29"/>
      <c r="AD61" s="29"/>
      <c r="AE61" s="29"/>
      <c r="AF61" s="29"/>
      <c r="AG61" s="30"/>
      <c r="AH61" s="30"/>
      <c r="AI61" s="30"/>
    </row>
    <row r="62" spans="2:39">
      <c r="C62" s="30"/>
      <c r="D62" s="30"/>
      <c r="E62" s="30"/>
      <c r="F62" s="30"/>
      <c r="G62" s="30"/>
      <c r="H62" s="30"/>
      <c r="I62" s="28"/>
      <c r="J62" s="28"/>
      <c r="K62" s="28"/>
      <c r="L62" s="28"/>
      <c r="M62" s="28"/>
      <c r="N62" s="28"/>
      <c r="X62" s="29"/>
      <c r="Y62" s="29"/>
      <c r="Z62" s="29"/>
      <c r="AA62" s="29"/>
      <c r="AB62" s="29"/>
      <c r="AC62" s="29"/>
      <c r="AD62" s="29"/>
      <c r="AE62" s="29"/>
      <c r="AF62" s="29"/>
      <c r="AG62" s="30"/>
      <c r="AH62" s="30"/>
      <c r="AI62" s="30"/>
    </row>
    <row r="63" spans="2:39">
      <c r="C63" s="30"/>
      <c r="D63" s="30"/>
      <c r="E63" s="30"/>
      <c r="F63" s="30"/>
      <c r="G63" s="30"/>
      <c r="H63" s="30"/>
      <c r="O63" s="30"/>
      <c r="X63" s="29"/>
      <c r="Y63" s="29"/>
      <c r="Z63" s="29"/>
      <c r="AA63" s="29"/>
      <c r="AB63" s="29"/>
      <c r="AC63" s="29"/>
      <c r="AD63" s="29"/>
      <c r="AE63" s="29"/>
      <c r="AF63" s="29"/>
      <c r="AG63" s="30"/>
      <c r="AH63" s="30"/>
      <c r="AI63" s="30"/>
    </row>
    <row r="64" spans="2:39">
      <c r="C64" s="30"/>
      <c r="D64" s="30"/>
      <c r="E64" s="30"/>
      <c r="F64" s="30"/>
      <c r="G64" s="30"/>
      <c r="H64" s="30"/>
      <c r="O64" s="30"/>
      <c r="AD64" s="30"/>
      <c r="AE64" s="30"/>
      <c r="AF64" s="30"/>
      <c r="AG64" s="30"/>
      <c r="AH64" s="30"/>
      <c r="AI64" s="30"/>
    </row>
    <row r="65" spans="3:35">
      <c r="C65" s="30"/>
      <c r="D65" s="30"/>
      <c r="E65" s="30"/>
      <c r="F65" s="30"/>
      <c r="G65" s="30"/>
      <c r="H65" s="30"/>
      <c r="O65" s="30"/>
      <c r="AD65" s="30"/>
      <c r="AE65" s="30"/>
      <c r="AF65" s="30"/>
      <c r="AG65" s="30"/>
      <c r="AH65" s="30"/>
      <c r="AI65" s="30"/>
    </row>
    <row r="66" spans="3:35">
      <c r="C66" s="30"/>
      <c r="D66" s="30"/>
      <c r="E66" s="30"/>
      <c r="F66" s="30"/>
      <c r="G66" s="30"/>
      <c r="H66" s="30"/>
      <c r="O66" s="30"/>
      <c r="AD66" s="30"/>
      <c r="AE66" s="30"/>
      <c r="AF66" s="30"/>
      <c r="AG66" s="30"/>
      <c r="AH66" s="30"/>
      <c r="AI66" s="30"/>
    </row>
    <row r="67" spans="3:35">
      <c r="C67" s="30"/>
      <c r="D67" s="30"/>
      <c r="E67" s="30"/>
      <c r="F67" s="30"/>
      <c r="G67" s="30"/>
      <c r="H67" s="30"/>
      <c r="O67" s="30"/>
      <c r="AD67" s="30"/>
      <c r="AE67" s="30"/>
      <c r="AF67" s="30"/>
      <c r="AG67" s="30"/>
      <c r="AH67" s="30"/>
      <c r="AI67" s="30"/>
    </row>
    <row r="68" spans="3:35">
      <c r="C68" s="30"/>
      <c r="D68" s="30"/>
      <c r="E68" s="30"/>
      <c r="F68" s="30"/>
      <c r="G68" s="30"/>
      <c r="H68" s="30"/>
      <c r="O68" s="30"/>
      <c r="AD68" s="30"/>
      <c r="AE68" s="30"/>
      <c r="AF68" s="30"/>
      <c r="AG68" s="30"/>
      <c r="AH68" s="30"/>
      <c r="AI68" s="30"/>
    </row>
    <row r="69" spans="3:35">
      <c r="C69" s="30"/>
      <c r="D69" s="30"/>
      <c r="E69" s="30"/>
      <c r="F69" s="30"/>
      <c r="G69" s="30"/>
      <c r="H69" s="30"/>
      <c r="O69" s="30"/>
      <c r="AD69" s="30"/>
      <c r="AE69" s="30"/>
      <c r="AF69" s="30"/>
      <c r="AG69" s="30"/>
      <c r="AH69" s="30"/>
      <c r="AI69" s="30"/>
    </row>
    <row r="70" spans="3:35">
      <c r="C70" s="30"/>
      <c r="D70" s="30"/>
      <c r="E70" s="30"/>
      <c r="F70" s="30"/>
      <c r="G70" s="30"/>
      <c r="H70" s="30"/>
      <c r="O70" s="30"/>
      <c r="AD70" s="30"/>
      <c r="AE70" s="30"/>
      <c r="AF70" s="30"/>
      <c r="AG70" s="30"/>
      <c r="AH70" s="30"/>
      <c r="AI70" s="30"/>
    </row>
    <row r="71" spans="3:35">
      <c r="C71" s="30"/>
      <c r="D71" s="30"/>
      <c r="E71" s="30"/>
      <c r="F71" s="30"/>
      <c r="G71" s="30"/>
      <c r="H71" s="30"/>
      <c r="O71" s="30"/>
      <c r="AD71" s="30"/>
      <c r="AE71" s="30"/>
      <c r="AF71" s="30"/>
      <c r="AG71" s="30"/>
      <c r="AH71" s="30"/>
      <c r="AI71" s="30"/>
    </row>
    <row r="72" spans="3:35">
      <c r="C72" s="30"/>
      <c r="D72" s="30"/>
      <c r="E72" s="30"/>
      <c r="F72" s="30"/>
      <c r="G72" s="30"/>
      <c r="H72" s="30"/>
      <c r="O72" s="30"/>
      <c r="AD72" s="30"/>
      <c r="AE72" s="30"/>
      <c r="AF72" s="30"/>
      <c r="AG72" s="30"/>
      <c r="AH72" s="30"/>
      <c r="AI72" s="30"/>
    </row>
    <row r="73" spans="3:35">
      <c r="C73" s="30"/>
      <c r="D73" s="30"/>
      <c r="E73" s="30"/>
      <c r="F73" s="30"/>
      <c r="G73" s="30"/>
      <c r="H73" s="30"/>
      <c r="O73" s="30"/>
      <c r="AD73" s="30"/>
      <c r="AE73" s="30"/>
      <c r="AF73" s="30"/>
      <c r="AG73" s="30"/>
      <c r="AH73" s="30"/>
      <c r="AI73" s="30"/>
    </row>
    <row r="74" spans="3:35">
      <c r="C74" s="30"/>
      <c r="D74" s="30"/>
      <c r="E74" s="30"/>
      <c r="F74" s="30"/>
      <c r="G74" s="30"/>
      <c r="H74" s="30"/>
      <c r="O74" s="30"/>
      <c r="AD74" s="30"/>
      <c r="AE74" s="30"/>
      <c r="AF74" s="30"/>
      <c r="AG74" s="30"/>
      <c r="AH74" s="30"/>
      <c r="AI74" s="30"/>
    </row>
    <row r="75" spans="3:35">
      <c r="C75" s="30"/>
      <c r="D75" s="30"/>
      <c r="E75" s="30"/>
      <c r="F75" s="30"/>
      <c r="G75" s="30"/>
      <c r="H75" s="30"/>
      <c r="O75" s="30"/>
      <c r="AD75" s="30"/>
      <c r="AE75" s="30"/>
      <c r="AF75" s="30"/>
      <c r="AG75" s="30"/>
      <c r="AH75" s="30"/>
      <c r="AI75" s="30"/>
    </row>
    <row r="76" spans="3:35">
      <c r="C76" s="30"/>
      <c r="D76" s="30"/>
      <c r="E76" s="30"/>
      <c r="F76" s="30"/>
      <c r="H76" s="30"/>
      <c r="O76" s="30"/>
      <c r="AD76" s="30"/>
      <c r="AE76" s="30"/>
      <c r="AF76" s="30"/>
      <c r="AG76" s="30"/>
      <c r="AH76" s="30"/>
      <c r="AI76" s="30"/>
    </row>
    <row r="77" spans="3:35">
      <c r="C77" s="30"/>
      <c r="D77" s="30"/>
      <c r="E77" s="30"/>
      <c r="F77" s="30"/>
      <c r="O77" s="30"/>
      <c r="AD77" s="30"/>
      <c r="AE77" s="30"/>
      <c r="AF77" s="30"/>
      <c r="AG77" s="30"/>
      <c r="AH77" s="30"/>
      <c r="AI77" s="30"/>
    </row>
    <row r="78" spans="3:35">
      <c r="C78" s="30"/>
      <c r="D78" s="30"/>
      <c r="E78" s="30"/>
      <c r="F78" s="30"/>
      <c r="O78" s="30"/>
      <c r="AD78" s="30"/>
      <c r="AE78" s="30"/>
      <c r="AF78" s="30"/>
      <c r="AG78" s="30"/>
      <c r="AH78" s="30"/>
      <c r="AI78" s="30"/>
    </row>
    <row r="79" spans="3:35">
      <c r="C79" s="30"/>
      <c r="D79" s="30"/>
      <c r="E79" s="30"/>
      <c r="F79" s="30"/>
      <c r="AD79" s="30"/>
      <c r="AE79" s="30"/>
      <c r="AF79" s="30"/>
      <c r="AG79" s="30"/>
      <c r="AH79" s="30"/>
      <c r="AI79" s="30"/>
    </row>
    <row r="80" spans="3:35">
      <c r="C80" s="30"/>
      <c r="D80" s="30"/>
      <c r="E80" s="30"/>
      <c r="F80" s="30"/>
      <c r="AD80" s="30"/>
      <c r="AE80" s="30"/>
      <c r="AF80" s="30"/>
      <c r="AG80" s="30"/>
      <c r="AH80" s="30"/>
      <c r="AI80" s="30"/>
    </row>
    <row r="81" spans="3:35">
      <c r="C81" s="30"/>
      <c r="D81" s="30"/>
      <c r="E81" s="30"/>
      <c r="F81" s="30"/>
      <c r="AD81" s="30"/>
      <c r="AE81" s="30"/>
      <c r="AF81" s="30"/>
      <c r="AG81" s="30"/>
      <c r="AH81" s="30"/>
      <c r="AI81" s="30"/>
    </row>
    <row r="82" spans="3:35">
      <c r="C82" s="30"/>
      <c r="D82" s="30"/>
      <c r="E82" s="30"/>
      <c r="F82" s="30"/>
      <c r="AD82" s="30"/>
      <c r="AE82" s="30"/>
      <c r="AF82" s="30"/>
      <c r="AG82" s="30"/>
      <c r="AH82" s="30"/>
      <c r="AI82" s="30"/>
    </row>
    <row r="83" spans="3:35">
      <c r="C83" s="30"/>
      <c r="D83" s="30"/>
      <c r="E83" s="30"/>
      <c r="F83" s="30"/>
    </row>
    <row r="84" spans="3:35">
      <c r="C84" s="30"/>
      <c r="D84" s="30"/>
      <c r="E84" s="30"/>
      <c r="F84" s="30"/>
    </row>
    <row r="85" spans="3:35">
      <c r="C85" s="30"/>
      <c r="D85" s="30"/>
      <c r="E85" s="30"/>
      <c r="F85" s="30"/>
    </row>
    <row r="86" spans="3:35">
      <c r="C86" s="30"/>
      <c r="D86" s="30"/>
      <c r="E86" s="30"/>
      <c r="F86" s="30"/>
    </row>
    <row r="87" spans="3:35">
      <c r="C87" s="30"/>
      <c r="D87" s="30"/>
      <c r="E87" s="30"/>
      <c r="F87" s="30"/>
    </row>
    <row r="88" spans="3:35">
      <c r="C88" s="30"/>
      <c r="D88" s="30"/>
      <c r="E88" s="30"/>
      <c r="F88" s="30"/>
    </row>
    <row r="89" spans="3:35">
      <c r="C89" s="30"/>
      <c r="D89" s="30"/>
      <c r="E89" s="30"/>
      <c r="F89" s="30"/>
    </row>
    <row r="90" spans="3:35">
      <c r="C90" s="30"/>
      <c r="D90" s="30"/>
      <c r="E90" s="30"/>
      <c r="F90" s="30"/>
    </row>
    <row r="91" spans="3:35">
      <c r="C91" s="30"/>
      <c r="D91" s="30"/>
      <c r="E91" s="30"/>
      <c r="F91" s="30"/>
    </row>
  </sheetData>
  <sheetProtection algorithmName="SHA-512" hashValue="RGI2Rpi2DupxcBgpwwdE9fJfld/SqAailpVLEZqWxO5AqB0rG0JzZNIWiaLY+6tKZEqtY8Q08/cBKiELQEtApw==" saltValue="GVrt/uWDBjmZAxhv+pgqmA==" spinCount="100000" sheet="1" selectLockedCells="1" selectUnlockedCells="1"/>
  <mergeCells count="9">
    <mergeCell ref="T26:T27"/>
    <mergeCell ref="C2:O3"/>
    <mergeCell ref="D31:F31"/>
    <mergeCell ref="C31:C32"/>
    <mergeCell ref="O31:O32"/>
    <mergeCell ref="G31:H31"/>
    <mergeCell ref="J31:M31"/>
    <mergeCell ref="N31:N32"/>
    <mergeCell ref="B5:Q6"/>
  </mergeCells>
  <conditionalFormatting sqref="D33:E33">
    <cfRule type="dataBar" priority="18">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6">
      <dataBar>
        <cfvo type="min"/>
        <cfvo type="max"/>
        <color theme="2"/>
      </dataBar>
      <extLst>
        <ext xmlns:x14="http://schemas.microsoft.com/office/spreadsheetml/2009/9/main" uri="{B025F937-C7B1-47D3-B67F-A62EFF666E3E}">
          <x14:id>{AE39BBF6-AC4D-408C-A608-70A264461348}</x14:id>
        </ext>
      </extLst>
    </cfRule>
  </conditionalFormatting>
  <conditionalFormatting sqref="D35:E35">
    <cfRule type="dataBar" priority="5">
      <dataBar>
        <cfvo type="min"/>
        <cfvo type="max"/>
        <color theme="2"/>
      </dataBar>
      <extLst>
        <ext xmlns:x14="http://schemas.microsoft.com/office/spreadsheetml/2009/9/main" uri="{B025F937-C7B1-47D3-B67F-A62EFF666E3E}">
          <x14:id>{B16E2956-24BA-48C6-B8A0-0ACDBDB6C793}</x14:id>
        </ext>
      </extLst>
    </cfRule>
  </conditionalFormatting>
  <conditionalFormatting sqref="D36:E36">
    <cfRule type="dataBar" priority="15">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17">
      <dataBar>
        <cfvo type="min"/>
        <cfvo type="max"/>
        <color theme="2"/>
      </dataBar>
      <extLst>
        <ext xmlns:x14="http://schemas.microsoft.com/office/spreadsheetml/2009/9/main" uri="{B025F937-C7B1-47D3-B67F-A62EFF666E3E}">
          <x14:id>{858FAF06-12F6-410D-BA4B-51C970D09B29}</x14:id>
        </ext>
      </extLst>
    </cfRule>
  </conditionalFormatting>
  <conditionalFormatting sqref="D38:E38">
    <cfRule type="dataBar" priority="14">
      <dataBar>
        <cfvo type="min"/>
        <cfvo type="max"/>
        <color theme="2"/>
      </dataBar>
      <extLst>
        <ext xmlns:x14="http://schemas.microsoft.com/office/spreadsheetml/2009/9/main" uri="{B025F937-C7B1-47D3-B67F-A62EFF666E3E}">
          <x14:id>{95A34E89-55B1-4A9B-AE65-4EEDE04A6876}</x14:id>
        </ext>
      </extLst>
    </cfRule>
  </conditionalFormatting>
  <conditionalFormatting sqref="D39:E39">
    <cfRule type="dataBar" priority="13">
      <dataBar>
        <cfvo type="min"/>
        <cfvo type="max"/>
        <color theme="2"/>
      </dataBar>
      <extLst>
        <ext xmlns:x14="http://schemas.microsoft.com/office/spreadsheetml/2009/9/main" uri="{B025F937-C7B1-47D3-B67F-A62EFF666E3E}">
          <x14:id>{30FABE33-45FA-400C-ACE6-932C6E3F9C2B}</x14:id>
        </ext>
      </extLst>
    </cfRule>
  </conditionalFormatting>
  <conditionalFormatting sqref="D40:E40">
    <cfRule type="dataBar" priority="12">
      <dataBar>
        <cfvo type="min"/>
        <cfvo type="max"/>
        <color theme="2"/>
      </dataBar>
      <extLst>
        <ext xmlns:x14="http://schemas.microsoft.com/office/spreadsheetml/2009/9/main" uri="{B025F937-C7B1-47D3-B67F-A62EFF666E3E}">
          <x14:id>{6BC51323-A803-468B-8B91-192C87775742}</x14:id>
        </ext>
      </extLst>
    </cfRule>
  </conditionalFormatting>
  <conditionalFormatting sqref="D41:E41">
    <cfRule type="dataBar" priority="11">
      <dataBar>
        <cfvo type="min"/>
        <cfvo type="max"/>
        <color theme="2"/>
      </dataBar>
      <extLst>
        <ext xmlns:x14="http://schemas.microsoft.com/office/spreadsheetml/2009/9/main" uri="{B025F937-C7B1-47D3-B67F-A62EFF666E3E}">
          <x14:id>{548F3940-90AF-40F3-96B0-3A44167035B0}</x14:id>
        </ext>
      </extLst>
    </cfRule>
  </conditionalFormatting>
  <conditionalFormatting sqref="D42:E42">
    <cfRule type="dataBar" priority="9">
      <dataBar>
        <cfvo type="min"/>
        <cfvo type="max"/>
        <color theme="2"/>
      </dataBar>
      <extLst>
        <ext xmlns:x14="http://schemas.microsoft.com/office/spreadsheetml/2009/9/main" uri="{B025F937-C7B1-47D3-B67F-A62EFF666E3E}">
          <x14:id>{D516836D-EA3C-4576-95BC-D8EF186FD87E}</x14:id>
        </ext>
      </extLst>
    </cfRule>
  </conditionalFormatting>
  <conditionalFormatting sqref="N33:N43">
    <cfRule type="dataBar" priority="212">
      <dataBar>
        <cfvo type="min"/>
        <cfvo type="max"/>
        <color theme="2"/>
      </dataBar>
      <extLst>
        <ext xmlns:x14="http://schemas.microsoft.com/office/spreadsheetml/2009/9/main" uri="{B025F937-C7B1-47D3-B67F-A62EFF666E3E}">
          <x14:id>{03DE95BE-3C15-45C9-A3A3-FEF229BCD047}</x14:id>
        </ext>
      </extLst>
    </cfRule>
  </conditionalFormatting>
  <conditionalFormatting sqref="O33">
    <cfRule type="dataBar" priority="68">
      <dataBar>
        <cfvo type="min"/>
        <cfvo type="max"/>
        <color theme="2"/>
      </dataBar>
      <extLst>
        <ext xmlns:x14="http://schemas.microsoft.com/office/spreadsheetml/2009/9/main" uri="{B025F937-C7B1-47D3-B67F-A62EFF666E3E}">
          <x14:id>{4BE4F2C4-9230-4C51-9E97-D225E9A5D985}</x14:id>
        </ext>
      </extLst>
    </cfRule>
  </conditionalFormatting>
  <conditionalFormatting sqref="O34">
    <cfRule type="dataBar" priority="4">
      <dataBar>
        <cfvo type="min"/>
        <cfvo type="max"/>
        <color theme="2"/>
      </dataBar>
      <extLst>
        <ext xmlns:x14="http://schemas.microsoft.com/office/spreadsheetml/2009/9/main" uri="{B025F937-C7B1-47D3-B67F-A62EFF666E3E}">
          <x14:id>{1C5EAD17-DAAF-4F46-828E-369F7CB8CB29}</x14:id>
        </ext>
      </extLst>
    </cfRule>
  </conditionalFormatting>
  <conditionalFormatting sqref="O35">
    <cfRule type="dataBar" priority="2">
      <dataBar>
        <cfvo type="min"/>
        <cfvo type="max"/>
        <color theme="2"/>
      </dataBar>
      <extLst>
        <ext xmlns:x14="http://schemas.microsoft.com/office/spreadsheetml/2009/9/main" uri="{B025F937-C7B1-47D3-B67F-A62EFF666E3E}">
          <x14:id>{D79C3DF9-233F-4FA8-993D-E63E14BED949}</x14:id>
        </ext>
      </extLst>
    </cfRule>
  </conditionalFormatting>
  <conditionalFormatting sqref="O36">
    <cfRule type="dataBar" priority="1">
      <dataBar>
        <cfvo type="min"/>
        <cfvo type="max"/>
        <color theme="2"/>
      </dataBar>
      <extLst>
        <ext xmlns:x14="http://schemas.microsoft.com/office/spreadsheetml/2009/9/main" uri="{B025F937-C7B1-47D3-B67F-A62EFF666E3E}">
          <x14:id>{BF129B18-F4FF-41F1-A2EA-AF76456725A8}</x14:id>
        </ext>
      </extLst>
    </cfRule>
  </conditionalFormatting>
  <conditionalFormatting sqref="O37">
    <cfRule type="dataBar" priority="3">
      <dataBar>
        <cfvo type="min"/>
        <cfvo type="max"/>
        <color theme="2"/>
      </dataBar>
      <extLst>
        <ext xmlns:x14="http://schemas.microsoft.com/office/spreadsheetml/2009/9/main" uri="{B025F937-C7B1-47D3-B67F-A62EFF666E3E}">
          <x14:id>{170B2944-00AB-4CB2-9C87-81D88303F052}</x14:id>
        </ext>
      </extLst>
    </cfRule>
  </conditionalFormatting>
  <conditionalFormatting sqref="O38">
    <cfRule type="dataBar" priority="72">
      <dataBar>
        <cfvo type="min"/>
        <cfvo type="max"/>
        <color theme="2"/>
      </dataBar>
      <extLst>
        <ext xmlns:x14="http://schemas.microsoft.com/office/spreadsheetml/2009/9/main" uri="{B025F937-C7B1-47D3-B67F-A62EFF666E3E}">
          <x14:id>{47D12EEF-1E7C-443B-98EE-26AEB387CDA1}</x14:id>
        </ext>
      </extLst>
    </cfRule>
  </conditionalFormatting>
  <conditionalFormatting sqref="O39">
    <cfRule type="dataBar" priority="73">
      <dataBar>
        <cfvo type="min"/>
        <cfvo type="max"/>
        <color theme="2"/>
      </dataBar>
      <extLst>
        <ext xmlns:x14="http://schemas.microsoft.com/office/spreadsheetml/2009/9/main" uri="{B025F937-C7B1-47D3-B67F-A62EFF666E3E}">
          <x14:id>{9BC54A58-BBA8-4FC3-B5A3-D76F5738DB8F}</x14:id>
        </ext>
      </extLst>
    </cfRule>
  </conditionalFormatting>
  <conditionalFormatting sqref="O40">
    <cfRule type="dataBar" priority="74">
      <dataBar>
        <cfvo type="min"/>
        <cfvo type="max"/>
        <color theme="2"/>
      </dataBar>
      <extLst>
        <ext xmlns:x14="http://schemas.microsoft.com/office/spreadsheetml/2009/9/main" uri="{B025F937-C7B1-47D3-B67F-A62EFF666E3E}">
          <x14:id>{4EADCBAB-DAE2-4EA0-8232-DD2B6BEBA9B7}</x14:id>
        </ext>
      </extLst>
    </cfRule>
  </conditionalFormatting>
  <conditionalFormatting sqref="O41">
    <cfRule type="dataBar" priority="75">
      <dataBar>
        <cfvo type="min"/>
        <cfvo type="max"/>
        <color theme="2"/>
      </dataBar>
      <extLst>
        <ext xmlns:x14="http://schemas.microsoft.com/office/spreadsheetml/2009/9/main" uri="{B025F937-C7B1-47D3-B67F-A62EFF666E3E}">
          <x14:id>{F84A0C4E-2D9D-4396-994A-4744E977A427}</x14:id>
        </ext>
      </extLst>
    </cfRule>
  </conditionalFormatting>
  <conditionalFormatting sqref="O42">
    <cfRule type="dataBar" priority="77">
      <dataBar>
        <cfvo type="min"/>
        <cfvo type="max"/>
        <color theme="2"/>
      </dataBar>
      <extLst>
        <ext xmlns:x14="http://schemas.microsoft.com/office/spreadsheetml/2009/9/main" uri="{B025F937-C7B1-47D3-B67F-A62EFF666E3E}">
          <x14:id>{6394B859-9BAB-4F6C-86A4-7C523F9AF77B}</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AE39BBF6-AC4D-408C-A608-70A264461348}">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B16E2956-24BA-48C6-B8A0-0ACDBDB6C793}">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D39:E39</xm:sqref>
        </x14:conditionalFormatting>
        <x14:conditionalFormatting xmlns:xm="http://schemas.microsoft.com/office/excel/2006/main">
          <x14:cfRule type="dataBar" id="{6BC51323-A803-468B-8B91-192C87775742}">
            <x14:dataBar minLength="0" maxLength="100" gradient="0">
              <x14:cfvo type="autoMin"/>
              <x14:cfvo type="autoMax"/>
              <x14:negativeFillColor rgb="FFFF0000"/>
              <x14:axisColor rgb="FF000000"/>
            </x14:dataBar>
          </x14:cfRule>
          <xm:sqref>D40:E40</xm:sqref>
        </x14:conditionalFormatting>
        <x14:conditionalFormatting xmlns:xm="http://schemas.microsoft.com/office/excel/2006/main">
          <x14:cfRule type="dataBar" id="{548F3940-90AF-40F3-96B0-3A44167035B0}">
            <x14:dataBar minLength="0" maxLength="100" gradient="0">
              <x14:cfvo type="autoMin"/>
              <x14:cfvo type="autoMax"/>
              <x14:negativeFillColor rgb="FFFF0000"/>
              <x14:axisColor rgb="FF000000"/>
            </x14:dataBar>
          </x14:cfRule>
          <xm:sqref>D41:E41</xm:sqref>
        </x14:conditionalFormatting>
        <x14:conditionalFormatting xmlns:xm="http://schemas.microsoft.com/office/excel/2006/main">
          <x14:cfRule type="dataBar" id="{D516836D-EA3C-4576-95BC-D8EF186FD87E}">
            <x14:dataBar minLength="0" maxLength="100" gradient="0">
              <x14:cfvo type="autoMin"/>
              <x14:cfvo type="autoMax"/>
              <x14:negativeFillColor rgb="FFFF0000"/>
              <x14:axisColor rgb="FF000000"/>
            </x14:dataBar>
          </x14:cfRule>
          <xm:sqref>D42:E42</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N33:N43</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O33</xm:sqref>
        </x14:conditionalFormatting>
        <x14:conditionalFormatting xmlns:xm="http://schemas.microsoft.com/office/excel/2006/main">
          <x14:cfRule type="dataBar" id="{1C5EAD17-DAAF-4F46-828E-369F7CB8CB29}">
            <x14:dataBar minLength="0" maxLength="100" gradient="0">
              <x14:cfvo type="autoMin"/>
              <x14:cfvo type="autoMax"/>
              <x14:negativeFillColor rgb="FFFF0000"/>
              <x14:axisColor rgb="FF000000"/>
            </x14:dataBar>
          </x14:cfRule>
          <xm:sqref>O34</xm:sqref>
        </x14:conditionalFormatting>
        <x14:conditionalFormatting xmlns:xm="http://schemas.microsoft.com/office/excel/2006/main">
          <x14:cfRule type="dataBar" id="{D79C3DF9-233F-4FA8-993D-E63E14BED949}">
            <x14:dataBar minLength="0" maxLength="100" gradient="0">
              <x14:cfvo type="autoMin"/>
              <x14:cfvo type="autoMax"/>
              <x14:negativeFillColor rgb="FFFF0000"/>
              <x14:axisColor rgb="FF000000"/>
            </x14:dataBar>
          </x14:cfRule>
          <xm:sqref>O35</xm:sqref>
        </x14:conditionalFormatting>
        <x14:conditionalFormatting xmlns:xm="http://schemas.microsoft.com/office/excel/2006/main">
          <x14:cfRule type="dataBar" id="{BF129B18-F4FF-41F1-A2EA-AF76456725A8}">
            <x14:dataBar minLength="0" maxLength="100" gradient="0">
              <x14:cfvo type="autoMin"/>
              <x14:cfvo type="autoMax"/>
              <x14:negativeFillColor rgb="FFFF0000"/>
              <x14:axisColor rgb="FF000000"/>
            </x14:dataBar>
          </x14:cfRule>
          <xm:sqref>O36</xm:sqref>
        </x14:conditionalFormatting>
        <x14:conditionalFormatting xmlns:xm="http://schemas.microsoft.com/office/excel/2006/main">
          <x14:cfRule type="dataBar" id="{170B2944-00AB-4CB2-9C87-81D88303F052}">
            <x14:dataBar minLength="0" maxLength="100" gradient="0">
              <x14:cfvo type="autoMin"/>
              <x14:cfvo type="autoMax"/>
              <x14:negativeFillColor rgb="FFFF0000"/>
              <x14:axisColor rgb="FF000000"/>
            </x14:dataBar>
          </x14:cfRule>
          <xm:sqref>O37</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O38</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O39</xm:sqref>
        </x14:conditionalFormatting>
        <x14:conditionalFormatting xmlns:xm="http://schemas.microsoft.com/office/excel/2006/main">
          <x14:cfRule type="dataBar" id="{4EADCBAB-DAE2-4EA0-8232-DD2B6BEBA9B7}">
            <x14:dataBar minLength="0" maxLength="100" gradient="0">
              <x14:cfvo type="autoMin"/>
              <x14:cfvo type="autoMax"/>
              <x14:negativeFillColor rgb="FFFF0000"/>
              <x14:axisColor rgb="FF000000"/>
            </x14:dataBar>
          </x14:cfRule>
          <xm:sqref>O40</xm:sqref>
        </x14:conditionalFormatting>
        <x14:conditionalFormatting xmlns:xm="http://schemas.microsoft.com/office/excel/2006/main">
          <x14:cfRule type="dataBar" id="{F84A0C4E-2D9D-4396-994A-4744E977A427}">
            <x14:dataBar minLength="0" maxLength="100" gradient="0">
              <x14:cfvo type="autoMin"/>
              <x14:cfvo type="autoMax"/>
              <x14:negativeFillColor rgb="FFFF0000"/>
              <x14:axisColor rgb="FF000000"/>
            </x14:dataBar>
          </x14:cfRule>
          <xm:sqref>O41</xm:sqref>
        </x14:conditionalFormatting>
        <x14:conditionalFormatting xmlns:xm="http://schemas.microsoft.com/office/excel/2006/main">
          <x14:cfRule type="dataBar" id="{6394B859-9BAB-4F6C-86A4-7C523F9AF77B}">
            <x14:dataBar minLength="0" maxLength="100" gradient="0">
              <x14:cfvo type="autoMin"/>
              <x14:cfvo type="autoMax"/>
              <x14:negativeFillColor rgb="FFFF0000"/>
              <x14:axisColor rgb="FF000000"/>
            </x14:dataBar>
          </x14:cfRule>
          <xm:sqref>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zoomScaleNormal="100" workbookViewId="0">
      <selection activeCell="I38" sqref="I38"/>
    </sheetView>
  </sheetViews>
  <sheetFormatPr defaultColWidth="8.7109375" defaultRowHeight="14.25"/>
  <cols>
    <col min="1" max="1" width="0.85546875" style="193" customWidth="1"/>
    <col min="2" max="2" width="3.7109375" style="193" customWidth="1"/>
    <col min="3" max="3" width="3.7109375" style="192" customWidth="1"/>
    <col min="4" max="4" width="3.42578125" style="193" customWidth="1"/>
    <col min="5" max="5" width="12" style="193" customWidth="1"/>
    <col min="6" max="6" width="5.85546875" style="193" customWidth="1"/>
    <col min="7" max="7" width="10.42578125" style="193" customWidth="1"/>
    <col min="8" max="8" width="1.42578125" style="193" customWidth="1"/>
    <col min="9" max="9" width="10.42578125" style="193" customWidth="1"/>
    <col min="10" max="10" width="5.85546875" style="193" customWidth="1"/>
    <col min="11" max="11" width="10.42578125" style="193" customWidth="1"/>
    <col min="12" max="12" width="1.42578125" style="193" customWidth="1"/>
    <col min="13" max="13" width="10.42578125" style="193" customWidth="1"/>
    <col min="14" max="14" width="5.85546875" style="193" customWidth="1"/>
    <col min="15" max="15" width="10.42578125" style="193" customWidth="1"/>
    <col min="16" max="16" width="1.42578125" style="193" customWidth="1"/>
    <col min="17" max="17" width="10.42578125" style="193" customWidth="1"/>
    <col min="18" max="18" width="5.85546875" style="193" customWidth="1"/>
    <col min="19" max="19" width="10.42578125" style="193" customWidth="1"/>
    <col min="20" max="20" width="1.42578125" style="193" customWidth="1"/>
    <col min="21" max="21" width="10.42578125" style="193" customWidth="1"/>
    <col min="22" max="22" width="5.85546875" style="193" customWidth="1"/>
    <col min="23" max="24" width="9.42578125" style="193" customWidth="1"/>
    <col min="25" max="25" width="9.5703125" style="193" customWidth="1"/>
    <col min="26" max="26" width="9.28515625" style="193" customWidth="1"/>
    <col min="27" max="27" width="7.28515625" style="193" customWidth="1"/>
    <col min="28" max="31" width="9.42578125" style="193" customWidth="1"/>
    <col min="32" max="16384" width="8.7109375" style="193"/>
  </cols>
  <sheetData>
    <row r="1" spans="3:27" ht="7.5" customHeight="1"/>
    <row r="2" spans="3:27" ht="7.5" customHeight="1"/>
    <row r="5" spans="3:27" ht="11.25" customHeight="1"/>
    <row r="6" spans="3:27" ht="20.25">
      <c r="M6" s="314" t="s">
        <v>136</v>
      </c>
      <c r="N6" s="314"/>
      <c r="O6" s="314"/>
      <c r="P6" s="314"/>
    </row>
    <row r="7" spans="3:27" ht="18" customHeight="1">
      <c r="D7" s="194" t="s">
        <v>188</v>
      </c>
      <c r="E7" s="195"/>
      <c r="F7" s="195"/>
      <c r="G7" s="195"/>
      <c r="H7" s="195"/>
      <c r="I7" s="195"/>
      <c r="K7" s="196"/>
      <c r="L7" s="196"/>
      <c r="M7" s="313"/>
      <c r="N7" s="313"/>
      <c r="O7" s="313"/>
      <c r="P7" s="313"/>
      <c r="Q7" s="196"/>
      <c r="R7" s="196"/>
      <c r="S7" s="303" t="str">
        <f ca="1">Message</f>
        <v>Your Name, you have 
91 days to complete 116 chapters &amp; 321 hrs of lectures.
For this you must study for 6:04 hrs and 19:27 hrs respectively on weekdays &amp; weekends.</v>
      </c>
      <c r="T7" s="303"/>
      <c r="U7" s="303"/>
      <c r="V7" s="303"/>
    </row>
    <row r="8" spans="3:27" ht="18.600000000000001" customHeight="1">
      <c r="D8" s="197" t="s">
        <v>157</v>
      </c>
      <c r="E8" s="195"/>
      <c r="F8" s="195"/>
      <c r="G8" s="195"/>
      <c r="H8" s="195"/>
      <c r="I8" s="49">
        <v>2.5</v>
      </c>
      <c r="K8" s="196"/>
      <c r="L8" s="196"/>
      <c r="M8" s="196"/>
      <c r="N8" s="196"/>
      <c r="O8" s="196"/>
      <c r="P8" s="196"/>
      <c r="Q8" s="196"/>
      <c r="R8" s="196"/>
      <c r="S8" s="303"/>
      <c r="T8" s="303"/>
      <c r="U8" s="303"/>
      <c r="V8" s="303"/>
    </row>
    <row r="9" spans="3:27" ht="18.600000000000001" customHeight="1">
      <c r="D9" s="197" t="s">
        <v>158</v>
      </c>
      <c r="E9" s="195"/>
      <c r="F9" s="195"/>
      <c r="G9" s="195"/>
      <c r="H9" s="195"/>
      <c r="I9" s="49">
        <v>8</v>
      </c>
      <c r="K9" s="196"/>
      <c r="L9" s="196"/>
      <c r="M9" s="196"/>
      <c r="N9" s="196"/>
      <c r="O9" s="196"/>
      <c r="P9" s="196"/>
      <c r="Q9" s="196"/>
      <c r="R9" s="196"/>
      <c r="S9" s="303"/>
      <c r="T9" s="303"/>
      <c r="U9" s="303"/>
      <c r="V9" s="303"/>
    </row>
    <row r="10" spans="3:27" ht="18.600000000000001" customHeight="1">
      <c r="D10" s="197" t="s">
        <v>159</v>
      </c>
      <c r="E10" s="195"/>
      <c r="F10" s="195"/>
      <c r="G10" s="195"/>
      <c r="H10" s="195"/>
      <c r="I10" s="49">
        <v>5</v>
      </c>
      <c r="K10" s="196"/>
      <c r="L10" s="196"/>
      <c r="M10" s="196"/>
      <c r="O10" s="196"/>
      <c r="P10" s="196"/>
      <c r="Q10" s="196"/>
      <c r="R10" s="198"/>
      <c r="S10" s="303"/>
      <c r="T10" s="303"/>
      <c r="U10" s="303"/>
      <c r="V10" s="303"/>
    </row>
    <row r="11" spans="3:27" ht="18.600000000000001" customHeight="1">
      <c r="D11" s="197" t="s">
        <v>160</v>
      </c>
      <c r="E11" s="195"/>
      <c r="F11" s="195"/>
      <c r="G11" s="195"/>
      <c r="H11" s="195"/>
      <c r="I11" s="50">
        <v>21</v>
      </c>
      <c r="K11" s="196"/>
      <c r="L11" s="196"/>
      <c r="M11" s="196"/>
      <c r="O11" s="196"/>
      <c r="P11" s="196"/>
      <c r="Q11" s="196"/>
      <c r="R11" s="199"/>
      <c r="S11" s="303"/>
      <c r="T11" s="303"/>
      <c r="U11" s="303"/>
      <c r="V11" s="303"/>
    </row>
    <row r="12" spans="3:27" ht="18.600000000000001" customHeight="1">
      <c r="D12" s="197" t="s">
        <v>176</v>
      </c>
      <c r="E12" s="195"/>
      <c r="F12" s="195"/>
      <c r="G12" s="195"/>
      <c r="H12" s="195"/>
      <c r="I12" s="50">
        <v>5</v>
      </c>
      <c r="K12" s="196"/>
      <c r="L12" s="196"/>
      <c r="M12" s="196"/>
      <c r="O12" s="196"/>
      <c r="P12" s="196"/>
      <c r="Q12" s="196"/>
      <c r="S12" s="303"/>
      <c r="T12" s="303"/>
      <c r="U12" s="303"/>
      <c r="V12" s="303"/>
    </row>
    <row r="14" spans="3:27" s="200" customFormat="1" ht="18.75" customHeight="1">
      <c r="C14" s="192"/>
      <c r="G14" s="318"/>
      <c r="H14" s="318"/>
      <c r="I14" s="318"/>
      <c r="J14" s="201"/>
      <c r="K14" s="201"/>
      <c r="L14" s="201"/>
      <c r="M14" s="202"/>
      <c r="N14" s="203"/>
      <c r="O14" s="204"/>
      <c r="P14" s="205"/>
      <c r="Q14" s="206"/>
      <c r="R14" s="207"/>
    </row>
    <row r="15" spans="3:27" s="200" customFormat="1" ht="15" customHeight="1">
      <c r="C15" s="192"/>
      <c r="J15" s="208"/>
      <c r="K15" s="312"/>
      <c r="L15" s="312"/>
      <c r="M15" s="202"/>
      <c r="N15" s="203"/>
      <c r="O15" s="204"/>
      <c r="P15" s="205"/>
      <c r="Q15" s="206"/>
      <c r="R15" s="207"/>
      <c r="X15" s="209"/>
      <c r="Y15" s="209"/>
      <c r="Z15" s="209"/>
      <c r="AA15" s="193"/>
    </row>
    <row r="16" spans="3:27" s="200" customFormat="1" ht="15" customHeight="1">
      <c r="C16" s="210" t="s">
        <v>161</v>
      </c>
      <c r="D16" s="210"/>
      <c r="F16" s="210"/>
      <c r="J16" s="208"/>
      <c r="K16" s="201"/>
      <c r="L16" s="201"/>
      <c r="M16" s="202"/>
      <c r="N16" s="203"/>
      <c r="O16" s="204"/>
      <c r="P16" s="205"/>
      <c r="Q16" s="206"/>
      <c r="R16" s="207"/>
      <c r="X16" s="211"/>
      <c r="Y16" s="211"/>
      <c r="Z16" s="211"/>
    </row>
    <row r="17" spans="2:30" s="200" customFormat="1" ht="15" customHeight="1">
      <c r="C17" s="212"/>
      <c r="D17" s="213" t="s">
        <v>62</v>
      </c>
      <c r="F17" s="213"/>
      <c r="K17" s="201"/>
      <c r="L17" s="201"/>
      <c r="M17" s="202"/>
      <c r="N17" s="203"/>
      <c r="O17" s="204"/>
      <c r="P17" s="205"/>
      <c r="Q17" s="206"/>
      <c r="R17" s="207"/>
      <c r="X17" s="211"/>
      <c r="Y17" s="211"/>
      <c r="Z17" s="211"/>
    </row>
    <row r="18" spans="2:30" s="200" customFormat="1" ht="15" customHeight="1">
      <c r="C18" s="214"/>
      <c r="D18" s="213" t="s">
        <v>165</v>
      </c>
      <c r="F18" s="213"/>
      <c r="J18" s="201"/>
      <c r="K18" s="201"/>
      <c r="L18" s="201"/>
      <c r="M18" s="202"/>
      <c r="N18" s="203"/>
      <c r="O18" s="204"/>
      <c r="P18" s="205"/>
      <c r="Q18" s="206"/>
      <c r="R18" s="207"/>
      <c r="X18" s="211"/>
      <c r="Y18" s="211"/>
      <c r="Z18" s="211"/>
      <c r="AB18" s="315"/>
      <c r="AC18" s="315"/>
      <c r="AD18" s="208"/>
    </row>
    <row r="19" spans="2:30" s="200" customFormat="1" ht="15" customHeight="1">
      <c r="J19" s="201"/>
      <c r="K19" s="201"/>
      <c r="L19" s="201"/>
      <c r="M19" s="202"/>
      <c r="N19" s="203"/>
      <c r="O19" s="204"/>
      <c r="P19" s="205"/>
      <c r="Q19" s="206"/>
      <c r="R19" s="207"/>
      <c r="X19" s="211"/>
      <c r="Y19" s="211"/>
      <c r="Z19" s="211"/>
      <c r="AB19" s="193"/>
      <c r="AC19" s="213"/>
      <c r="AD19" s="208"/>
    </row>
    <row r="20" spans="2:30" s="200" customFormat="1" ht="15" customHeight="1">
      <c r="C20" s="216" t="s">
        <v>162</v>
      </c>
      <c r="D20" s="215"/>
      <c r="F20" s="215"/>
      <c r="J20" s="201"/>
      <c r="K20" s="201"/>
      <c r="L20" s="201"/>
      <c r="M20" s="202"/>
      <c r="N20" s="203"/>
      <c r="O20" s="204"/>
      <c r="P20" s="205"/>
      <c r="Q20" s="206"/>
      <c r="R20" s="207"/>
      <c r="X20" s="211"/>
      <c r="Y20" s="211"/>
      <c r="Z20" s="211"/>
      <c r="AB20" s="213"/>
    </row>
    <row r="21" spans="2:30" s="200" customFormat="1" ht="16.5">
      <c r="C21" s="217"/>
      <c r="D21" s="213" t="s">
        <v>61</v>
      </c>
      <c r="F21" s="213"/>
      <c r="G21" s="218"/>
      <c r="H21" s="218"/>
      <c r="I21" s="218"/>
      <c r="J21" s="201"/>
      <c r="K21" s="201"/>
      <c r="L21" s="201"/>
      <c r="M21" s="202"/>
      <c r="N21" s="219"/>
      <c r="O21" s="220"/>
      <c r="P21" s="220"/>
      <c r="Q21" s="220"/>
      <c r="R21" s="220"/>
      <c r="S21" s="221"/>
      <c r="T21" s="221"/>
      <c r="U21" s="221"/>
      <c r="V21" s="193"/>
      <c r="Y21" s="193"/>
      <c r="Z21" s="213"/>
      <c r="AA21" s="193"/>
      <c r="AB21" s="213"/>
    </row>
    <row r="22" spans="2:30" s="200" customFormat="1" ht="15" customHeight="1">
      <c r="C22" s="222"/>
      <c r="D22" s="213" t="s">
        <v>166</v>
      </c>
      <c r="F22" s="213"/>
      <c r="G22" s="218"/>
      <c r="H22" s="218"/>
      <c r="I22" s="218"/>
      <c r="J22" s="221"/>
      <c r="K22" s="221"/>
      <c r="L22" s="221"/>
      <c r="M22" s="202"/>
      <c r="N22" s="223"/>
      <c r="O22" s="224"/>
      <c r="P22" s="224"/>
      <c r="Q22" s="206"/>
      <c r="R22" s="224"/>
      <c r="S22" s="221"/>
      <c r="T22" s="221"/>
      <c r="U22" s="221"/>
      <c r="V22" s="193"/>
      <c r="AB22" s="193"/>
      <c r="AC22" s="193"/>
    </row>
    <row r="23" spans="2:30" s="200" customFormat="1" ht="15" customHeight="1">
      <c r="C23" s="192"/>
      <c r="D23" s="193"/>
      <c r="E23" s="193"/>
      <c r="F23" s="193"/>
      <c r="G23" s="221"/>
      <c r="H23" s="221"/>
      <c r="I23" s="221"/>
      <c r="J23" s="201"/>
      <c r="K23" s="201"/>
      <c r="L23" s="201"/>
      <c r="M23" s="202"/>
      <c r="N23" s="225"/>
      <c r="O23" s="205"/>
      <c r="P23" s="205"/>
      <c r="Q23" s="206"/>
      <c r="R23" s="205"/>
      <c r="S23" s="221"/>
      <c r="T23" s="221"/>
      <c r="U23" s="221"/>
      <c r="V23" s="193"/>
      <c r="AB23" s="193"/>
      <c r="AC23" s="193"/>
    </row>
    <row r="24" spans="2:30" s="200" customFormat="1" ht="15" customHeight="1">
      <c r="C24" s="192"/>
      <c r="D24" s="193"/>
      <c r="E24" s="193"/>
      <c r="F24" s="193"/>
      <c r="G24" s="221"/>
      <c r="H24" s="221"/>
      <c r="I24" s="221"/>
      <c r="J24" s="201"/>
      <c r="K24" s="201"/>
      <c r="L24" s="201"/>
      <c r="M24" s="202"/>
      <c r="N24" s="225"/>
      <c r="O24" s="205"/>
      <c r="P24" s="205"/>
      <c r="Q24" s="206"/>
      <c r="R24" s="205"/>
      <c r="S24" s="221"/>
      <c r="T24" s="221"/>
      <c r="U24" s="221"/>
      <c r="V24" s="193"/>
      <c r="AB24" s="193"/>
      <c r="AC24" s="193"/>
    </row>
    <row r="25" spans="2:30" s="200" customFormat="1" ht="15" customHeight="1">
      <c r="C25" s="192"/>
      <c r="D25" s="193"/>
      <c r="E25" s="193"/>
      <c r="F25" s="193"/>
      <c r="G25" s="221"/>
      <c r="H25" s="221"/>
      <c r="I25" s="221"/>
      <c r="J25" s="201"/>
      <c r="K25" s="201"/>
      <c r="L25" s="201"/>
      <c r="M25" s="202"/>
      <c r="N25" s="225"/>
      <c r="O25" s="205"/>
      <c r="P25" s="205"/>
      <c r="Q25" s="206"/>
      <c r="R25" s="205"/>
      <c r="S25" s="221"/>
      <c r="T25" s="221"/>
      <c r="U25" s="221"/>
      <c r="V25" s="193"/>
      <c r="AB25" s="193"/>
      <c r="AC25" s="193"/>
    </row>
    <row r="26" spans="2:30" s="41" customFormat="1" ht="15" customHeight="1" thickBot="1">
      <c r="C26" s="231"/>
      <c r="D26" s="40"/>
      <c r="E26" s="40"/>
      <c r="F26" s="40"/>
      <c r="G26" s="324" t="s">
        <v>177</v>
      </c>
      <c r="H26" s="324"/>
      <c r="I26" s="324"/>
      <c r="J26" s="232"/>
      <c r="K26" s="324" t="s">
        <v>178</v>
      </c>
      <c r="L26" s="324"/>
      <c r="M26" s="324"/>
      <c r="N26" s="233"/>
      <c r="O26" s="324" t="s">
        <v>179</v>
      </c>
      <c r="P26" s="324"/>
      <c r="Q26" s="324"/>
      <c r="R26" s="234"/>
      <c r="S26" s="324" t="s">
        <v>181</v>
      </c>
      <c r="T26" s="324"/>
      <c r="U26" s="324"/>
      <c r="V26" s="40"/>
      <c r="AB26" s="40"/>
      <c r="AC26" s="40"/>
    </row>
    <row r="27" spans="2:30" s="41" customFormat="1" ht="7.5" customHeight="1" thickTop="1" thickBot="1">
      <c r="C27" s="231"/>
      <c r="D27" s="40"/>
      <c r="E27" s="40"/>
      <c r="F27" s="40"/>
      <c r="G27" s="235"/>
      <c r="H27" s="236"/>
      <c r="I27" s="237"/>
      <c r="J27" s="40"/>
      <c r="K27" s="237"/>
      <c r="L27" s="238"/>
      <c r="M27" s="237"/>
      <c r="N27" s="239"/>
      <c r="O27" s="237"/>
      <c r="P27" s="239"/>
      <c r="Q27" s="237"/>
      <c r="R27" s="239"/>
      <c r="S27" s="237"/>
      <c r="T27" s="239"/>
      <c r="U27" s="237"/>
      <c r="V27" s="40"/>
      <c r="W27" s="240"/>
      <c r="X27" s="240"/>
      <c r="Y27" s="40"/>
      <c r="Z27" s="40"/>
      <c r="AA27" s="40"/>
      <c r="AB27" s="40"/>
      <c r="AC27" s="40"/>
    </row>
    <row r="28" spans="2:30" s="241" customFormat="1" ht="12.75" thickTop="1" thickBot="1">
      <c r="D28" s="242"/>
      <c r="E28" s="242"/>
      <c r="F28" s="242"/>
      <c r="G28" s="243" t="s">
        <v>172</v>
      </c>
      <c r="H28" s="244"/>
      <c r="I28" s="243" t="s">
        <v>173</v>
      </c>
      <c r="J28" s="242"/>
      <c r="K28" s="243" t="s">
        <v>172</v>
      </c>
      <c r="L28" s="242"/>
      <c r="M28" s="243" t="s">
        <v>173</v>
      </c>
      <c r="N28" s="245"/>
      <c r="O28" s="243" t="s">
        <v>172</v>
      </c>
      <c r="P28" s="246"/>
      <c r="Q28" s="243" t="s">
        <v>173</v>
      </c>
      <c r="R28" s="246"/>
      <c r="S28" s="243" t="s">
        <v>172</v>
      </c>
      <c r="T28" s="242"/>
      <c r="U28" s="243" t="s">
        <v>173</v>
      </c>
      <c r="V28" s="242"/>
      <c r="AB28" s="242"/>
      <c r="AC28" s="242"/>
    </row>
    <row r="29" spans="2:30" s="41" customFormat="1" ht="21.75" customHeight="1" thickTop="1">
      <c r="B29" s="304" t="s">
        <v>175</v>
      </c>
      <c r="C29" s="305"/>
      <c r="D29" s="319" t="s">
        <v>62</v>
      </c>
      <c r="E29" s="319"/>
      <c r="F29" s="247"/>
      <c r="G29" s="248">
        <f ca="1">Working!D24</f>
        <v>0</v>
      </c>
      <c r="H29" s="249"/>
      <c r="I29" s="250">
        <f ca="1">Working!D29</f>
        <v>0</v>
      </c>
      <c r="J29" s="251"/>
      <c r="K29" s="252">
        <f ca="1">Working!D26</f>
        <v>0</v>
      </c>
      <c r="L29" s="253"/>
      <c r="M29" s="252">
        <f ca="1">Working!D31</f>
        <v>0</v>
      </c>
      <c r="N29" s="254"/>
      <c r="O29" s="252">
        <f ca="1">Working!D27</f>
        <v>0</v>
      </c>
      <c r="P29" s="255"/>
      <c r="Q29" s="252">
        <f ca="1">Working!D32</f>
        <v>0</v>
      </c>
      <c r="R29" s="255"/>
      <c r="S29" s="256">
        <f ca="1">O29+K29</f>
        <v>0</v>
      </c>
      <c r="T29" s="249"/>
      <c r="U29" s="256">
        <f ca="1">Q29+M29</f>
        <v>0</v>
      </c>
      <c r="V29" s="40"/>
      <c r="AB29" s="40"/>
      <c r="AC29" s="40"/>
    </row>
    <row r="30" spans="2:30" s="41" customFormat="1" ht="21.75" customHeight="1" thickBot="1">
      <c r="B30" s="306"/>
      <c r="C30" s="307"/>
      <c r="D30" s="320" t="s">
        <v>61</v>
      </c>
      <c r="E30" s="321"/>
      <c r="F30" s="247"/>
      <c r="G30" s="257">
        <f ca="1">Working!C24</f>
        <v>1.2453987730061349</v>
      </c>
      <c r="H30" s="249"/>
      <c r="I30" s="258">
        <f ca="1">Working!C29</f>
        <v>0.17791411042944785</v>
      </c>
      <c r="J30" s="251"/>
      <c r="K30" s="259">
        <f ca="1">Working!C26</f>
        <v>0.143701005453306</v>
      </c>
      <c r="L30" s="260"/>
      <c r="M30" s="259">
        <f ca="1">Working!C31</f>
        <v>2.0528715064758001E-2</v>
      </c>
      <c r="N30" s="261"/>
      <c r="O30" s="259">
        <f ca="1">Working!C27</f>
        <v>0.25945807770961149</v>
      </c>
      <c r="P30" s="262"/>
      <c r="Q30" s="259">
        <f ca="1">Working!C32</f>
        <v>3.7065439672801639E-2</v>
      </c>
      <c r="R30" s="262"/>
      <c r="S30" s="259">
        <f ca="1">O30+K30</f>
        <v>0.40315908316291749</v>
      </c>
      <c r="T30" s="249"/>
      <c r="U30" s="259">
        <f ca="1">Q30+M30</f>
        <v>5.759415473755964E-2</v>
      </c>
      <c r="V30" s="40"/>
      <c r="AB30" s="40"/>
      <c r="AC30" s="40"/>
    </row>
    <row r="31" spans="2:30" s="40" customFormat="1" ht="15.6" customHeight="1" thickTop="1" thickBot="1">
      <c r="B31" s="308"/>
      <c r="C31" s="309"/>
      <c r="D31" s="322" t="s">
        <v>82</v>
      </c>
      <c r="E31" s="322"/>
      <c r="F31" s="247"/>
      <c r="G31" s="300">
        <f ca="1">Working!E24</f>
        <v>-1</v>
      </c>
      <c r="H31" s="301"/>
      <c r="I31" s="302"/>
      <c r="J31" s="263"/>
      <c r="K31" s="300">
        <f ca="1">Working!E26</f>
        <v>-1</v>
      </c>
      <c r="L31" s="301"/>
      <c r="M31" s="302"/>
      <c r="N31" s="264"/>
      <c r="O31" s="300">
        <f ca="1">Working!E27</f>
        <v>-1</v>
      </c>
      <c r="P31" s="301"/>
      <c r="Q31" s="302"/>
      <c r="R31" s="234"/>
      <c r="S31" s="300">
        <f ca="1">Working!E25</f>
        <v>-1</v>
      </c>
      <c r="T31" s="301"/>
      <c r="U31" s="302"/>
    </row>
    <row r="32" spans="2:30" s="40" customFormat="1" ht="15" customHeight="1" thickTop="1" thickBot="1">
      <c r="B32" s="310" t="s">
        <v>174</v>
      </c>
      <c r="C32" s="311"/>
      <c r="D32" s="323" t="s">
        <v>65</v>
      </c>
      <c r="E32" s="323"/>
      <c r="F32" s="247"/>
      <c r="G32" s="265">
        <f ca="1">Working!F24</f>
        <v>8.9230769230769234</v>
      </c>
      <c r="H32" s="266"/>
      <c r="I32" s="265">
        <f ca="1">Working!F29</f>
        <v>1.2747252747252746</v>
      </c>
      <c r="J32" s="249"/>
      <c r="K32" s="267">
        <f ca="1">Working!F26</f>
        <v>1.0295940170940165</v>
      </c>
      <c r="L32" s="260"/>
      <c r="M32" s="267">
        <f ca="1">Working!F31</f>
        <v>0.14708485958485951</v>
      </c>
      <c r="N32" s="268"/>
      <c r="O32" s="267">
        <f ca="1">Working!F27</f>
        <v>1.858974358974359</v>
      </c>
      <c r="P32" s="269"/>
      <c r="Q32" s="267">
        <f ca="1">Working!F32</f>
        <v>0.26556776556776557</v>
      </c>
      <c r="R32" s="269"/>
      <c r="S32" s="267">
        <f ca="1">O32+K32</f>
        <v>2.8885683760683758</v>
      </c>
      <c r="T32" s="249"/>
      <c r="U32" s="267">
        <f ca="1">Q32+M32</f>
        <v>0.41265262515262507</v>
      </c>
    </row>
    <row r="33" spans="2:21" s="40" customFormat="1" ht="15" customHeight="1" thickTop="1" thickBot="1">
      <c r="B33" s="310"/>
      <c r="C33" s="311"/>
      <c r="D33" s="316" t="s">
        <v>127</v>
      </c>
      <c r="E33" s="317"/>
      <c r="F33" s="247"/>
      <c r="G33" s="300" t="str">
        <f ca="1">Working!G24</f>
        <v>+100%</v>
      </c>
      <c r="H33" s="301"/>
      <c r="I33" s="302"/>
      <c r="K33" s="300" t="str">
        <f ca="1">Working!G26</f>
        <v>+100%</v>
      </c>
      <c r="L33" s="301"/>
      <c r="M33" s="302"/>
      <c r="N33" s="264"/>
      <c r="O33" s="300" t="str">
        <f ca="1">Working!G27</f>
        <v>+100%</v>
      </c>
      <c r="P33" s="301"/>
      <c r="Q33" s="302"/>
      <c r="R33" s="234"/>
      <c r="S33" s="300" t="str">
        <f ca="1">Working!G25</f>
        <v>+100%</v>
      </c>
      <c r="T33" s="301"/>
      <c r="U33" s="302"/>
    </row>
    <row r="34" spans="2:21" ht="15" thickTop="1">
      <c r="D34" s="226"/>
      <c r="E34" s="226"/>
      <c r="F34" s="226"/>
      <c r="G34" s="226"/>
      <c r="H34" s="226"/>
      <c r="I34" s="226"/>
      <c r="N34" s="227"/>
      <c r="O34" s="205"/>
      <c r="P34" s="205"/>
      <c r="Q34" s="206"/>
      <c r="R34" s="205"/>
    </row>
    <row r="35" spans="2:21">
      <c r="B35" s="193" t="s">
        <v>227</v>
      </c>
      <c r="D35" s="226"/>
      <c r="E35" s="226"/>
      <c r="F35" s="226"/>
      <c r="G35" s="226"/>
      <c r="H35" s="226"/>
      <c r="I35" s="226"/>
      <c r="N35" s="227"/>
      <c r="O35" s="205"/>
      <c r="P35" s="205"/>
      <c r="Q35" s="206"/>
      <c r="R35" s="205"/>
    </row>
    <row r="36" spans="2:21" ht="15" customHeight="1">
      <c r="J36" s="228"/>
      <c r="K36" s="226"/>
      <c r="N36" s="227"/>
      <c r="O36" s="205"/>
      <c r="P36" s="205"/>
      <c r="Q36" s="206"/>
      <c r="R36" s="205"/>
    </row>
    <row r="37" spans="2:21" ht="15" customHeight="1"/>
    <row r="38" spans="2:21" ht="15" customHeight="1"/>
    <row r="39" spans="2:21" ht="15" customHeight="1">
      <c r="O39" s="229"/>
      <c r="Q39" s="230"/>
    </row>
    <row r="40" spans="2:21" ht="15" customHeight="1"/>
    <row r="45" spans="2:21" ht="15" customHeight="1"/>
  </sheetData>
  <sheetProtection selectLockedCells="1" autoFilter="0" pivotTables="0"/>
  <mergeCells count="25">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 ref="O33:Q33"/>
    <mergeCell ref="S7:V12"/>
    <mergeCell ref="B29:C31"/>
    <mergeCell ref="B32:C33"/>
    <mergeCell ref="K15:L15"/>
    <mergeCell ref="G31:I31"/>
    <mergeCell ref="M7:P7"/>
    <mergeCell ref="S31:U31"/>
    <mergeCell ref="S33:U33"/>
  </mergeCells>
  <conditionalFormatting sqref="G31">
    <cfRule type="cellIs" dxfId="19" priority="21" operator="greaterThanOrEqual">
      <formula>0.0001</formula>
    </cfRule>
    <cfRule type="cellIs" dxfId="18" priority="22" operator="lessThan">
      <formula>0</formula>
    </cfRule>
  </conditionalFormatting>
  <conditionalFormatting sqref="G33">
    <cfRule type="cellIs" dxfId="17" priority="7" operator="lessThan">
      <formula>0</formula>
    </cfRule>
    <cfRule type="cellIs" dxfId="16" priority="8" operator="greaterThanOrEqual">
      <formula>0.00001</formula>
    </cfRule>
  </conditionalFormatting>
  <conditionalFormatting sqref="K31">
    <cfRule type="cellIs" dxfId="15" priority="13" operator="greaterThanOrEqual">
      <formula>0.0001</formula>
    </cfRule>
    <cfRule type="cellIs" dxfId="14" priority="14" operator="lessThan">
      <formula>0</formula>
    </cfRule>
  </conditionalFormatting>
  <conditionalFormatting sqref="K33">
    <cfRule type="cellIs" dxfId="13" priority="5" operator="lessThan">
      <formula>0</formula>
    </cfRule>
    <cfRule type="cellIs" dxfId="12" priority="6" operator="greaterThanOrEqual">
      <formula>0.00001</formula>
    </cfRule>
  </conditionalFormatting>
  <conditionalFormatting sqref="O31">
    <cfRule type="cellIs" dxfId="11" priority="11" operator="greaterThanOrEqual">
      <formula>0.0001</formula>
    </cfRule>
    <cfRule type="cellIs" dxfId="10" priority="12" operator="lessThan">
      <formula>0</formula>
    </cfRule>
  </conditionalFormatting>
  <conditionalFormatting sqref="O33">
    <cfRule type="cellIs" dxfId="9" priority="3" operator="lessThan">
      <formula>0</formula>
    </cfRule>
    <cfRule type="cellIs" dxfId="8" priority="4" operator="greaterThanOrEqual">
      <formula>0.00001</formula>
    </cfRule>
  </conditionalFormatting>
  <conditionalFormatting sqref="S31">
    <cfRule type="cellIs" dxfId="7" priority="9" operator="greaterThanOrEqual">
      <formula>0.0001</formula>
    </cfRule>
    <cfRule type="cellIs" dxfId="6" priority="10" operator="lessThan">
      <formula>0</formula>
    </cfRule>
  </conditionalFormatting>
  <conditionalFormatting sqref="S33">
    <cfRule type="cellIs" dxfId="5" priority="1" operator="lessThan">
      <formula>0</formula>
    </cfRule>
    <cfRule type="cellIs" dxfId="4" priority="2" operator="greaterThanOrEqual">
      <formula>0.00001</formula>
    </cfRule>
  </conditionalFormatting>
  <dataValidations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zoomScale="70" zoomScaleNormal="70" workbookViewId="0">
      <selection activeCell="D82" sqref="D82"/>
    </sheetView>
  </sheetViews>
  <sheetFormatPr defaultColWidth="8.7109375" defaultRowHeight="14.25"/>
  <cols>
    <col min="1" max="1" width="8.7109375" style="87"/>
    <col min="2" max="2" width="17.85546875" style="87" bestFit="1" customWidth="1"/>
    <col min="3" max="3" width="28.28515625" style="87" bestFit="1" customWidth="1"/>
    <col min="4" max="4" width="16.140625" style="87" bestFit="1" customWidth="1"/>
    <col min="5" max="5" width="22.42578125" style="87" customWidth="1"/>
    <col min="6" max="6" width="9.5703125" style="87" customWidth="1"/>
    <col min="7" max="7" width="15.85546875" style="87" customWidth="1"/>
    <col min="8" max="8" width="10.28515625" style="87" customWidth="1"/>
    <col min="9" max="9" width="8.7109375" style="87"/>
    <col min="10" max="10" width="15.5703125" style="87" bestFit="1" customWidth="1"/>
    <col min="11" max="11" width="24.85546875" style="110" bestFit="1" customWidth="1"/>
    <col min="12" max="13" width="9.140625" style="110"/>
    <col min="14" max="14" width="26.7109375" style="87" bestFit="1" customWidth="1"/>
    <col min="15" max="16384" width="8.7109375" style="87"/>
  </cols>
  <sheetData>
    <row r="2" spans="2:14">
      <c r="B2" s="86" t="s">
        <v>151</v>
      </c>
      <c r="C2" s="86"/>
      <c r="E2" s="88" t="s">
        <v>71</v>
      </c>
      <c r="F2" s="88" t="s">
        <v>73</v>
      </c>
      <c r="G2" s="88" t="s">
        <v>76</v>
      </c>
      <c r="H2" s="88" t="s">
        <v>75</v>
      </c>
      <c r="I2" s="88" t="s">
        <v>72</v>
      </c>
      <c r="J2" s="88" t="s">
        <v>74</v>
      </c>
      <c r="K2" s="89" t="s">
        <v>70</v>
      </c>
      <c r="L2" s="87"/>
      <c r="M2" s="87"/>
    </row>
    <row r="3" spans="2:14" ht="15.75">
      <c r="B3" s="90" t="s">
        <v>80</v>
      </c>
      <c r="C3" s="15">
        <f>'⏱ Input'!T4</f>
        <v>13.384722222222216</v>
      </c>
      <c r="D3" s="91"/>
      <c r="E3" s="92">
        <f>'📝 Instructions'!F8</f>
        <v>44937</v>
      </c>
      <c r="F3" s="93">
        <v>1</v>
      </c>
      <c r="G3" s="93">
        <f>Table134[[#This Row],[Diff %]]</f>
        <v>0</v>
      </c>
      <c r="H3" s="94">
        <v>0</v>
      </c>
      <c r="I3" s="95">
        <f>Table134[[#This Row],[Difference]]/$F$7</f>
        <v>1.4749262536873156E-3</v>
      </c>
      <c r="J3" s="95"/>
      <c r="K3" s="96" t="str">
        <f>"Start "&amp;CHAR(10)&amp;TEXT(Table134[[#This Row],[YEAR]],"dd-mmm-yy")</f>
        <v>Start 
11-Jan-23</v>
      </c>
      <c r="L3" s="87"/>
      <c r="M3" s="87"/>
    </row>
    <row r="4" spans="2:14" ht="15.75">
      <c r="B4" s="90" t="s">
        <v>153</v>
      </c>
      <c r="C4" s="15">
        <f>('📊 Summary'!I10*'⏱ Input'!V4)/24</f>
        <v>24.166666666666668</v>
      </c>
      <c r="D4" s="91"/>
      <c r="E4" s="92">
        <f ca="1">TODAY()</f>
        <v>45498</v>
      </c>
      <c r="F4" s="93">
        <f ca="1">Table134[[#This Row],[YEAR]]-$E$3</f>
        <v>561</v>
      </c>
      <c r="G4" s="93">
        <f ca="1">Table134[[#This Row],[Diff %]]</f>
        <v>0.82595870206489674</v>
      </c>
      <c r="H4" s="94">
        <f ca="1">Table134[[#This Row],[%]]-I3</f>
        <v>0.82595870206489674</v>
      </c>
      <c r="I4" s="95">
        <f ca="1">Table134[[#This Row],[Difference]]/$F$7</f>
        <v>0.82743362831858402</v>
      </c>
      <c r="J4" s="97" t="str">
        <f ca="1">Table134[[#This Row],[YEAR]]-E3&amp;" days over"</f>
        <v>561 days over</v>
      </c>
      <c r="K4" s="96" t="str">
        <f ca="1">"Today "&amp;TEXT(Table134[[#This Row],[YEAR]],"dd-mmm-yy")</f>
        <v>Today 25-Jul-24</v>
      </c>
      <c r="L4" s="87"/>
      <c r="M4" s="87"/>
    </row>
    <row r="5" spans="2:14" ht="15.75">
      <c r="B5" s="84" t="s">
        <v>81</v>
      </c>
      <c r="C5" s="15">
        <f>SUM(C3:C4)</f>
        <v>37.55138888888888</v>
      </c>
      <c r="D5" s="91"/>
      <c r="E5" s="92">
        <f>E6-'📊 Summary'!I12</f>
        <v>45589</v>
      </c>
      <c r="F5" s="93">
        <f>Table134[[#This Row],[YEAR]]-$E$3</f>
        <v>652</v>
      </c>
      <c r="G5" s="93">
        <f ca="1">Table134[[#This Row],[Diff %]]</f>
        <v>0.13421828908554578</v>
      </c>
      <c r="H5" s="94">
        <f ca="1">Table134[[#This Row],[%]]-I4</f>
        <v>0.13421828908554578</v>
      </c>
      <c r="I5" s="95">
        <f>Table134[[#This Row],[Difference]]/$F$7</f>
        <v>0.96165191740412981</v>
      </c>
      <c r="J5" s="97" t="str">
        <f ca="1">IF(E4&gt;Table134[[#This Row],[YEAR]],Table134[[#This Row],[YEAR]]-E3,Table134[[#This Row],[YEAR]]-E4)&amp;" study days left"</f>
        <v>91 study days left</v>
      </c>
      <c r="K5" s="96" t="str">
        <f>"Lecture Completed "&amp;TEXT(Table134[[#This Row],[YEAR]],"dd-mmm-yy")</f>
        <v>Lecture Completed 24-Oct-24</v>
      </c>
      <c r="L5" s="87"/>
      <c r="M5" s="87"/>
    </row>
    <row r="6" spans="2:14" ht="15.75">
      <c r="B6" s="84" t="s">
        <v>152</v>
      </c>
      <c r="C6" s="126">
        <f>C5/(((('📊 Summary'!I8*5)+('📊 Summary'!I9*2))/24)/7)</f>
        <v>221.3555555555555</v>
      </c>
      <c r="D6" s="98"/>
      <c r="E6" s="92">
        <f>E7-'📊 Summary'!I11</f>
        <v>45594</v>
      </c>
      <c r="F6" s="93">
        <f>Table134[[#This Row],[YEAR]]-$E$3</f>
        <v>657</v>
      </c>
      <c r="G6" s="93">
        <f>Table134[[#This Row],[Diff %]]</f>
        <v>7.3746312684365156E-3</v>
      </c>
      <c r="H6" s="94">
        <f>Table134[[#This Row],[%]]-I5</f>
        <v>7.3746312684365156E-3</v>
      </c>
      <c r="I6" s="95">
        <f>Table134[[#This Row],[Difference]]/$F$7</f>
        <v>0.96902654867256632</v>
      </c>
      <c r="J6" s="97" t="str">
        <f>Table134[[#This Row],[YEAR]]-E5&amp;"  buffer days"</f>
        <v>5  buffer days</v>
      </c>
      <c r="K6" s="96" t="str">
        <f>"Start Revision "&amp;TEXT(Table134[[#This Row],[YEAR]],"dd-mmm-yy")</f>
        <v>Start Revision 29-Oct-24</v>
      </c>
      <c r="L6" s="87"/>
      <c r="M6" s="87"/>
    </row>
    <row r="7" spans="2:14">
      <c r="E7" s="92">
        <f>'📝 Instructions'!F9</f>
        <v>45615</v>
      </c>
      <c r="F7" s="93">
        <f>Table134[[#This Row],[YEAR]]-$E$3</f>
        <v>678</v>
      </c>
      <c r="G7" s="93">
        <f>Table134[[#This Row],[Diff %]]</f>
        <v>3.0973451327433676E-2</v>
      </c>
      <c r="H7" s="94">
        <f>Table134[[#This Row],[%]]-I6</f>
        <v>3.0973451327433676E-2</v>
      </c>
      <c r="I7" s="95">
        <f>Table134[[#This Row],[Difference]]/$F$7</f>
        <v>1</v>
      </c>
      <c r="J7" s="97" t="str">
        <f>Table134[[#This Row],[YEAR]]-E6&amp;" revision days"</f>
        <v>21 revision days</v>
      </c>
      <c r="K7" s="96" t="str">
        <f>"Exam "&amp;TEXT(Table134[[#This Row],[YEAR]],"dd-mmm-yy")</f>
        <v>Exam 19-Nov-24</v>
      </c>
      <c r="L7" s="87"/>
      <c r="M7" s="87"/>
    </row>
    <row r="8" spans="2:14" ht="15.75">
      <c r="B8" s="87" t="s">
        <v>155</v>
      </c>
      <c r="C8" s="15">
        <f ca="1">('⏱ Input'!T4-'⏱ Input'!T5)/F17</f>
        <v>1.0295940170940165</v>
      </c>
      <c r="E8" s="99"/>
      <c r="F8" s="100"/>
      <c r="G8" s="100"/>
      <c r="H8" s="101">
        <f ca="1">SUBTOTAL(109,Table134[Diff %])</f>
        <v>0.99852507374631272</v>
      </c>
      <c r="I8" s="102"/>
      <c r="J8" s="103"/>
      <c r="K8" s="104"/>
      <c r="L8" s="87"/>
      <c r="M8" s="87"/>
    </row>
    <row r="9" spans="2:14" ht="18.75">
      <c r="C9" s="105"/>
      <c r="E9" s="106"/>
      <c r="F9" s="107"/>
      <c r="G9" s="107"/>
      <c r="H9" s="108"/>
      <c r="I9" s="109"/>
      <c r="J9" s="110"/>
      <c r="K9" s="87"/>
      <c r="L9" s="87"/>
      <c r="M9" s="87"/>
    </row>
    <row r="10" spans="2:14" ht="31.5">
      <c r="B10" s="82" t="s">
        <v>60</v>
      </c>
      <c r="C10" s="83">
        <f ca="1">'📝 Instructions'!F9-TODAY()</f>
        <v>117</v>
      </c>
      <c r="E10" s="106"/>
      <c r="F10" s="107"/>
      <c r="G10" s="107"/>
      <c r="H10" s="108"/>
      <c r="I10" s="109"/>
      <c r="J10" s="110"/>
      <c r="K10" s="87"/>
      <c r="L10" s="87"/>
      <c r="M10" s="87"/>
    </row>
    <row r="11" spans="2:14" ht="15.75">
      <c r="B11" s="84" t="s">
        <v>77</v>
      </c>
      <c r="C11" s="83">
        <f ca="1">IF(C10&lt;SUM('📊 Summary'!I11:I12),0,C10-'📊 Summary'!I11-'📊 Summary'!I12)</f>
        <v>91</v>
      </c>
      <c r="E11" s="106"/>
      <c r="F11" s="107"/>
      <c r="G11" s="107"/>
      <c r="H11" s="108"/>
      <c r="I11" s="109"/>
      <c r="J11" s="110"/>
      <c r="K11" s="87"/>
      <c r="L11" s="87"/>
      <c r="M11" s="87"/>
    </row>
    <row r="12" spans="2:14" ht="15.75">
      <c r="B12" s="84" t="s">
        <v>67</v>
      </c>
      <c r="C12" s="85">
        <f>((('📊 Summary'!I8*5)+('📊 Summary'!I9*2))/7)*F21</f>
        <v>54.494940476190443</v>
      </c>
      <c r="E12" s="106"/>
      <c r="F12" s="107"/>
      <c r="G12" s="107"/>
      <c r="H12" s="108"/>
      <c r="I12" s="109"/>
      <c r="J12" s="110"/>
      <c r="K12" s="87"/>
      <c r="L12" s="87"/>
      <c r="M12" s="87"/>
    </row>
    <row r="14" spans="2:14" ht="15.75">
      <c r="B14" s="325"/>
      <c r="C14" s="326" t="s">
        <v>66</v>
      </c>
      <c r="D14" s="326"/>
      <c r="E14" s="326"/>
      <c r="F14" s="111" t="s">
        <v>64</v>
      </c>
      <c r="G14" s="112"/>
    </row>
    <row r="15" spans="2:14" ht="31.5">
      <c r="B15" s="325"/>
      <c r="C15" s="112" t="s">
        <v>61</v>
      </c>
      <c r="D15" s="112" t="s">
        <v>62</v>
      </c>
      <c r="E15" s="112" t="s">
        <v>82</v>
      </c>
      <c r="F15" s="112" t="s">
        <v>65</v>
      </c>
      <c r="G15" s="112" t="s">
        <v>127</v>
      </c>
      <c r="K15" s="87"/>
      <c r="N15" s="110"/>
    </row>
    <row r="16" spans="2:14" ht="31.5">
      <c r="B16" s="113" t="s">
        <v>69</v>
      </c>
      <c r="C16" s="114">
        <f ca="1">('⏱ Input'!V4/('📝 Instructions'!F9-'📝 Instructions'!F8-'📊 Summary'!I11-'📊 Summary'!I12))*(TODAY()-'📝 Instructions'!F8)</f>
        <v>99.809815950920239</v>
      </c>
      <c r="D16" s="114">
        <f>SUMIFS(Master_Data[No. of Chapters],Master_Data[Lectures],"D",Master_Data[Self Study],"D")</f>
        <v>0</v>
      </c>
      <c r="E16" s="21">
        <f ca="1">IF((D16-C16)/C16&gt;0,"+"&amp;ROUND(((D16-C16)/C16)*100,0)&amp;"%",ROUND(((D16-C16)/C16),2))</f>
        <v>-1</v>
      </c>
      <c r="F16" s="114">
        <f>SUMIFS(Master_Data[No. of Chapters],Master_Data[Lectures],"u",Master_Data[Self Study],"u")</f>
        <v>116</v>
      </c>
      <c r="G16" s="20" t="str">
        <f>IFERROR(IF((F16-D16)/F16&gt;0,"+"&amp;ROUND(((F16-D16)/F16)*100,0)&amp;"%",ROUND(((F16-D16)/F16),2)),"-")</f>
        <v>+100%</v>
      </c>
      <c r="H16" s="133"/>
      <c r="K16" s="87"/>
      <c r="N16" s="110"/>
    </row>
    <row r="17" spans="2:14" ht="31.5">
      <c r="B17" s="113" t="s">
        <v>99</v>
      </c>
      <c r="C17" s="80">
        <f ca="1">C18/7</f>
        <v>80.142857142857139</v>
      </c>
      <c r="D17" s="80">
        <f ca="1">D18/7</f>
        <v>80.142857142857139</v>
      </c>
      <c r="E17" s="21"/>
      <c r="F17" s="80">
        <f ca="1">F18/7</f>
        <v>13</v>
      </c>
      <c r="G17" s="20"/>
      <c r="K17" s="87"/>
      <c r="N17" s="110"/>
    </row>
    <row r="18" spans="2:14" ht="31.5">
      <c r="B18" s="113" t="s">
        <v>100</v>
      </c>
      <c r="C18" s="81">
        <f ca="1">TODAY()-'📝 Instructions'!F8</f>
        <v>561</v>
      </c>
      <c r="D18" s="81">
        <f ca="1">TODAY()-'📝 Instructions'!F8</f>
        <v>561</v>
      </c>
      <c r="E18" s="21"/>
      <c r="F18" s="81">
        <f ca="1">IF(C10&lt;SUM('📊 Summary'!I11:I12),0,Working!C10-'📊 Summary'!I11-'📊 Summary'!I12)</f>
        <v>91</v>
      </c>
      <c r="G18" s="20"/>
      <c r="K18" s="87"/>
      <c r="N18" s="110"/>
    </row>
    <row r="19" spans="2:14" ht="31.5">
      <c r="B19" s="113" t="s">
        <v>93</v>
      </c>
      <c r="C19" s="15">
        <f ca="1">((('📊 Summary'!$I$8*5)+('📊 Summary'!$I$9*2))/24)*Working!C17</f>
        <v>95.169642857142847</v>
      </c>
      <c r="D19" s="15">
        <f ca="1">((('📊 Summary'!$I$8*5)+('📊 Summary'!$I$9*2))/24)*Working!D17</f>
        <v>95.169642857142847</v>
      </c>
      <c r="E19" s="21"/>
      <c r="F19" s="15">
        <f ca="1">((('📊 Summary'!$I$8*5)+('📊 Summary'!$I$9*2))/24)*Working!F17</f>
        <v>15.4375</v>
      </c>
      <c r="G19" s="20"/>
      <c r="K19" s="87"/>
      <c r="N19" s="110"/>
    </row>
    <row r="20" spans="2:14" ht="47.25">
      <c r="B20" s="115" t="s">
        <v>94</v>
      </c>
      <c r="C20" s="9">
        <f ca="1">C21+C22</f>
        <v>32.310320807770957</v>
      </c>
      <c r="D20" s="9">
        <f>D21+D22</f>
        <v>0</v>
      </c>
      <c r="E20" s="21">
        <f t="shared" ref="E20:E22" ca="1" si="0">IF((D20-C20)/C20&gt;0,"+"&amp;ROUND(((D20-C20)/C20)*100,0)&amp;"%",ROUND(((D20-C20)/C20),2))</f>
        <v>-1</v>
      </c>
      <c r="F20" s="9">
        <f>F21+F22</f>
        <v>37.55138888888888</v>
      </c>
      <c r="G20" s="20" t="str">
        <f t="shared" ref="G20:G22" si="1">IFERROR(IF((F20-D20)/F20&gt;0,"+"&amp;ROUND(((F20-D20)/F20)*100,0)&amp;"%",ROUND(((F20-D20)/F20),2)),"-")</f>
        <v>+100%</v>
      </c>
    </row>
    <row r="21" spans="2:14" ht="31.5">
      <c r="B21" s="116" t="s">
        <v>97</v>
      </c>
      <c r="C21" s="15">
        <f ca="1">((TODAY()-'📝 Instructions'!F8)/('📝 Instructions'!F9-'📝 Instructions'!F8-'📊 Summary'!I11-'📊 Summary'!I12))*'⏱ Input'!T4</f>
        <v>11.516609151329238</v>
      </c>
      <c r="D21" s="15">
        <f>SUMIF(Master_Data[Lectures],"d",Master_Data[Duration (hh:mm)])</f>
        <v>0</v>
      </c>
      <c r="E21" s="21">
        <f t="shared" ca="1" si="0"/>
        <v>-1</v>
      </c>
      <c r="F21" s="15">
        <f>SUMIF(Master_Data[Lectures],"u",Master_Data[Duration (hh:mm)])</f>
        <v>13.384722222222216</v>
      </c>
      <c r="G21" s="20" t="str">
        <f t="shared" si="1"/>
        <v>+100%</v>
      </c>
    </row>
    <row r="22" spans="2:14" ht="47.25">
      <c r="B22" s="116" t="s">
        <v>101</v>
      </c>
      <c r="C22" s="15">
        <f ca="1">C16*('📊 Summary'!$I$10/24)</f>
        <v>20.793711656441719</v>
      </c>
      <c r="D22" s="15">
        <f>D16*('📊 Summary'!$I$10/24)</f>
        <v>0</v>
      </c>
      <c r="E22" s="21">
        <f t="shared" ca="1" si="0"/>
        <v>-1</v>
      </c>
      <c r="F22" s="15">
        <f>F16*('📊 Summary'!$I$10/24)</f>
        <v>24.166666666666668</v>
      </c>
      <c r="G22" s="20" t="str">
        <f t="shared" si="1"/>
        <v>+100%</v>
      </c>
    </row>
    <row r="23" spans="2:14" ht="15.75">
      <c r="B23" s="115" t="s">
        <v>95</v>
      </c>
      <c r="C23" s="15"/>
      <c r="D23" s="15"/>
      <c r="E23" s="21"/>
      <c r="F23" s="15"/>
      <c r="G23" s="20"/>
    </row>
    <row r="24" spans="2:14" ht="31.5">
      <c r="B24" s="115" t="s">
        <v>102</v>
      </c>
      <c r="C24" s="132">
        <f ca="1">C16/C$17</f>
        <v>1.2453987730061349</v>
      </c>
      <c r="D24" s="132">
        <f ca="1">D16/D$17</f>
        <v>0</v>
      </c>
      <c r="E24" s="21">
        <f t="shared" ref="E24:E27" ca="1" si="2">IF((D24-C24)/C24&gt;0,"+"&amp;ROUND(((D24-C24)/C24)*100,0)&amp;"%",ROUND(((D24-C24)/C24),2))</f>
        <v>-1</v>
      </c>
      <c r="F24" s="132">
        <f ca="1">IFERROR(F16/F$17,"-")</f>
        <v>8.9230769230769234</v>
      </c>
      <c r="G24" s="20" t="str">
        <f ca="1">IFERROR(IF((F24-D24)/F24&gt;0,"+"&amp;ROUND(((F24-D24)/F24)*100,0)&amp;"%",ROUND(((F24-D24)/F24),2)),"-")</f>
        <v>+100%</v>
      </c>
      <c r="H24" s="133"/>
    </row>
    <row r="25" spans="2:14" ht="31.5">
      <c r="B25" s="115" t="s">
        <v>98</v>
      </c>
      <c r="C25" s="9">
        <f ca="1">C26+C27</f>
        <v>0.40315908316291749</v>
      </c>
      <c r="D25" s="9">
        <f ca="1">D26+D27</f>
        <v>0</v>
      </c>
      <c r="E25" s="21">
        <f t="shared" ca="1" si="2"/>
        <v>-1</v>
      </c>
      <c r="F25" s="9">
        <f ca="1">IFERROR(F26+F27,"-")</f>
        <v>2.8885683760683758</v>
      </c>
      <c r="G25" s="20" t="str">
        <f t="shared" ref="G25:G27" ca="1" si="3">IFERROR(IF((F25-D25)/F25&gt;0,"+"&amp;ROUND(((F25-D25)/F25)*100,0)&amp;"%",ROUND(((F25-D25)/F25),2)),"-")</f>
        <v>+100%</v>
      </c>
    </row>
    <row r="26" spans="2:14" ht="31.5">
      <c r="B26" s="116" t="s">
        <v>97</v>
      </c>
      <c r="C26" s="15">
        <f ca="1">C21/C$17</f>
        <v>0.143701005453306</v>
      </c>
      <c r="D26" s="15">
        <f ca="1">D21/D$17</f>
        <v>0</v>
      </c>
      <c r="E26" s="21">
        <f t="shared" ca="1" si="2"/>
        <v>-1</v>
      </c>
      <c r="F26" s="15">
        <f ca="1">IFERROR(F21/F$17,"-")</f>
        <v>1.0295940170940165</v>
      </c>
      <c r="G26" s="20" t="str">
        <f t="shared" ca="1" si="3"/>
        <v>+100%</v>
      </c>
    </row>
    <row r="27" spans="2:14" ht="47.25">
      <c r="B27" s="116" t="s">
        <v>101</v>
      </c>
      <c r="C27" s="15">
        <f ca="1">C22/C$17</f>
        <v>0.25945807770961149</v>
      </c>
      <c r="D27" s="15">
        <f ca="1">D22/D$17</f>
        <v>0</v>
      </c>
      <c r="E27" s="21">
        <f t="shared" ca="1" si="2"/>
        <v>-1</v>
      </c>
      <c r="F27" s="15">
        <f ca="1">IFERROR(F22/F$17,"-")</f>
        <v>1.858974358974359</v>
      </c>
      <c r="G27" s="20" t="str">
        <f t="shared" ca="1" si="3"/>
        <v>+100%</v>
      </c>
    </row>
    <row r="28" spans="2:14" ht="15.75">
      <c r="B28" s="115" t="s">
        <v>96</v>
      </c>
      <c r="C28" s="15"/>
      <c r="D28" s="15"/>
      <c r="E28" s="21"/>
      <c r="F28" s="15"/>
      <c r="G28" s="20"/>
    </row>
    <row r="29" spans="2:14" ht="31.5">
      <c r="B29" s="115" t="s">
        <v>102</v>
      </c>
      <c r="C29" s="132">
        <f ca="1">C16/C$18</f>
        <v>0.17791411042944785</v>
      </c>
      <c r="D29" s="132">
        <f ca="1">D16/D$18</f>
        <v>0</v>
      </c>
      <c r="E29" s="21">
        <f t="shared" ref="E29:E32" ca="1" si="4">IF((D29-C29)/C29&gt;0,"+"&amp;ROUND(((D29-C29)/C29)*100,0)&amp;"%",ROUND(((D29-C29)/C29),2))</f>
        <v>-1</v>
      </c>
      <c r="F29" s="132">
        <f ca="1">IFERROR(F16/F$18,"-")</f>
        <v>1.2747252747252746</v>
      </c>
      <c r="G29" s="20" t="str">
        <f t="shared" ref="G29:G32" ca="1" si="5">IFERROR(IF((F29-D29)/F29&gt;0,"+"&amp;ROUND(((F29-D29)/F29)*100,0)&amp;"%",ROUND(((F29-D29)/F29),2)),"-")</f>
        <v>+100%</v>
      </c>
    </row>
    <row r="30" spans="2:14" ht="31.5">
      <c r="B30" s="115" t="s">
        <v>98</v>
      </c>
      <c r="C30" s="9">
        <f ca="1">C31+C32</f>
        <v>5.759415473755964E-2</v>
      </c>
      <c r="D30" s="9">
        <f ca="1">D31+D32</f>
        <v>0</v>
      </c>
      <c r="E30" s="21">
        <f t="shared" ca="1" si="4"/>
        <v>-1</v>
      </c>
      <c r="F30" s="9">
        <f ca="1">IFERROR(F31+F32,"-")</f>
        <v>0.41265262515262507</v>
      </c>
      <c r="G30" s="20" t="str">
        <f t="shared" ca="1" si="5"/>
        <v>+100%</v>
      </c>
    </row>
    <row r="31" spans="2:14" ht="31.5">
      <c r="B31" s="116" t="s">
        <v>97</v>
      </c>
      <c r="C31" s="15">
        <f ca="1">C21/C$18</f>
        <v>2.0528715064758001E-2</v>
      </c>
      <c r="D31" s="15">
        <f ca="1">D21/D$18</f>
        <v>0</v>
      </c>
      <c r="E31" s="21">
        <f t="shared" ca="1" si="4"/>
        <v>-1</v>
      </c>
      <c r="F31" s="15">
        <f ca="1">IFERROR(F21/F$18,"-")</f>
        <v>0.14708485958485951</v>
      </c>
      <c r="G31" s="20" t="str">
        <f t="shared" ca="1" si="5"/>
        <v>+100%</v>
      </c>
    </row>
    <row r="32" spans="2:14" ht="47.25">
      <c r="B32" s="116" t="s">
        <v>101</v>
      </c>
      <c r="C32" s="15">
        <f ca="1">C22/C$18</f>
        <v>3.7065439672801639E-2</v>
      </c>
      <c r="D32" s="15">
        <f ca="1">D22/D$18</f>
        <v>0</v>
      </c>
      <c r="E32" s="21">
        <f t="shared" ca="1" si="4"/>
        <v>-1</v>
      </c>
      <c r="F32" s="15">
        <f ca="1">IFERROR(F22/F$18,"-")</f>
        <v>0.26556776556776557</v>
      </c>
      <c r="G32" s="20" t="str">
        <f t="shared" ca="1" si="5"/>
        <v>+100%</v>
      </c>
    </row>
    <row r="33" spans="2:7" ht="15.75">
      <c r="B33" s="117"/>
      <c r="C33" s="91"/>
      <c r="D33" s="91"/>
      <c r="E33" s="118"/>
      <c r="F33" s="91"/>
      <c r="G33" s="77"/>
    </row>
    <row r="34" spans="2:7" ht="15.75">
      <c r="B34" s="127" t="s">
        <v>87</v>
      </c>
      <c r="C34" s="127"/>
      <c r="D34" s="91"/>
      <c r="E34" s="118"/>
      <c r="F34" s="91"/>
      <c r="G34" s="77"/>
    </row>
    <row r="35" spans="2:7" ht="15.75">
      <c r="B35" s="128" t="s">
        <v>83</v>
      </c>
      <c r="C35" s="91">
        <f ca="1">(C42*((('📊 Summary'!I8*5)/24)/((('📊 Summary'!I8*5)+('📊 Summary'!I9*2))/24)))/5</f>
        <v>0.25338319088319083</v>
      </c>
      <c r="D35" s="91"/>
      <c r="E35" s="118"/>
      <c r="F35" s="91"/>
      <c r="G35" s="77"/>
    </row>
    <row r="36" spans="2:7" ht="15.75">
      <c r="B36" s="128" t="s">
        <v>84</v>
      </c>
      <c r="C36" s="91">
        <f ca="1">(C42*((('📊 Summary'!I9*2)/24)/((('📊 Summary'!I8*5)+('📊 Summary'!I9*2))/24)))/2</f>
        <v>0.81082621082621054</v>
      </c>
      <c r="D36" s="91"/>
      <c r="E36" s="118"/>
      <c r="F36" s="91"/>
      <c r="G36" s="77"/>
    </row>
    <row r="37" spans="2:7" ht="15.75">
      <c r="B37" s="129"/>
      <c r="C37" s="129"/>
      <c r="D37" s="91"/>
      <c r="E37" s="118"/>
      <c r="F37" s="91"/>
      <c r="G37" s="77"/>
    </row>
    <row r="38" spans="2:7" ht="15.75">
      <c r="B38" s="127" t="s">
        <v>85</v>
      </c>
      <c r="C38" s="91"/>
      <c r="D38" s="91"/>
      <c r="E38" s="118"/>
      <c r="F38" s="91"/>
      <c r="G38" s="77"/>
    </row>
    <row r="39" spans="2:7" ht="15.75">
      <c r="B39" s="130" t="s">
        <v>80</v>
      </c>
      <c r="C39" s="91">
        <f>F21</f>
        <v>13.384722222222216</v>
      </c>
      <c r="D39" s="91"/>
      <c r="E39" s="118"/>
      <c r="F39" s="91"/>
      <c r="G39" s="77"/>
    </row>
    <row r="40" spans="2:7" ht="15.75">
      <c r="B40" s="130" t="s">
        <v>40</v>
      </c>
      <c r="C40" s="91">
        <f>F22</f>
        <v>24.166666666666668</v>
      </c>
      <c r="D40" s="91"/>
      <c r="E40" s="118"/>
      <c r="F40" s="91"/>
      <c r="G40" s="77"/>
    </row>
    <row r="41" spans="2:7" ht="15.75">
      <c r="B41" s="128" t="s">
        <v>81</v>
      </c>
      <c r="C41" s="131">
        <f>SUM(C39:C40)</f>
        <v>37.55138888888888</v>
      </c>
      <c r="D41" s="91"/>
      <c r="E41" s="118"/>
      <c r="F41" s="91"/>
      <c r="G41" s="77"/>
    </row>
    <row r="42" spans="2:7" ht="15.75">
      <c r="B42" s="128" t="s">
        <v>86</v>
      </c>
      <c r="C42" s="91">
        <f ca="1">C41/F17</f>
        <v>2.8885683760683754</v>
      </c>
      <c r="D42" s="91"/>
      <c r="E42" s="118"/>
      <c r="F42" s="91"/>
      <c r="G42" s="77"/>
    </row>
    <row r="43" spans="2:7" ht="15.75">
      <c r="B43" s="117"/>
      <c r="C43" s="91"/>
      <c r="D43" s="91"/>
      <c r="E43" s="118"/>
      <c r="F43" s="91"/>
      <c r="G43" s="77"/>
    </row>
    <row r="44" spans="2:7" ht="15.75">
      <c r="B44" s="117"/>
      <c r="C44" s="91"/>
      <c r="D44" s="91"/>
      <c r="E44" s="118"/>
      <c r="F44" s="91"/>
      <c r="G44" s="77"/>
    </row>
    <row r="45" spans="2:7">
      <c r="C45" s="110"/>
      <c r="D45" s="110"/>
    </row>
    <row r="46" spans="2:7">
      <c r="B46" s="119" t="s">
        <v>27</v>
      </c>
      <c r="C46" s="86"/>
      <c r="D46" s="86"/>
      <c r="E46" s="86"/>
    </row>
    <row r="47" spans="2:7">
      <c r="B47" s="86" t="s">
        <v>29</v>
      </c>
      <c r="C47" s="120">
        <f>D47/$D$51</f>
        <v>0</v>
      </c>
      <c r="D47" s="86">
        <f>SUMIFS(Master_Data[No. of Chapters],Master_Data[Lectures],"d",Master_Data[Self Study],"d")</f>
        <v>0</v>
      </c>
      <c r="E47" s="120" t="str">
        <f>IF(C47=0,"",CONCATENATE(B47,", ",ROUND(D47,0)))</f>
        <v/>
      </c>
    </row>
    <row r="48" spans="2:7">
      <c r="B48" s="86" t="s">
        <v>170</v>
      </c>
      <c r="C48" s="120">
        <f t="shared" ref="C48:C51" ca="1" si="6">D48/$D$51</f>
        <v>0</v>
      </c>
      <c r="D48" s="121">
        <f ca="1">IF(C16&lt;D16,D16-C16,0)</f>
        <v>0</v>
      </c>
      <c r="E48" s="120" t="str">
        <f t="shared" ref="E48:E50" ca="1" si="7">IF(C48=0,"",CONCATENATE(B48,", ",ROUND(D48,0)))</f>
        <v/>
      </c>
    </row>
    <row r="49" spans="2:14">
      <c r="B49" s="86" t="s">
        <v>171</v>
      </c>
      <c r="C49" s="120">
        <f t="shared" ca="1" si="6"/>
        <v>0.86042944785276065</v>
      </c>
      <c r="D49" s="121">
        <f ca="1">IF(C16&gt;D16,C16-D16,0)</f>
        <v>99.809815950920239</v>
      </c>
      <c r="E49" s="120" t="str">
        <f t="shared" ca="1" si="7"/>
        <v>Extra Undone, 100</v>
      </c>
    </row>
    <row r="50" spans="2:14">
      <c r="B50" s="86" t="s">
        <v>30</v>
      </c>
      <c r="C50" s="120">
        <f t="shared" ca="1" si="6"/>
        <v>0.13957055214723932</v>
      </c>
      <c r="D50" s="122">
        <f ca="1">D51-D47-D49</f>
        <v>16.190184049079761</v>
      </c>
      <c r="E50" s="120" t="str">
        <f t="shared" ca="1" si="7"/>
        <v>Undone, 16</v>
      </c>
    </row>
    <row r="51" spans="2:14">
      <c r="B51" s="86" t="s">
        <v>7</v>
      </c>
      <c r="C51" s="120">
        <f t="shared" si="6"/>
        <v>1</v>
      </c>
      <c r="D51" s="122">
        <f>'⏱ Input'!V4</f>
        <v>116</v>
      </c>
      <c r="E51" s="120"/>
    </row>
    <row r="53" spans="2:14">
      <c r="B53" s="119" t="s">
        <v>168</v>
      </c>
      <c r="C53" s="86"/>
      <c r="D53" s="86"/>
      <c r="E53" s="86"/>
      <c r="N53" s="123"/>
    </row>
    <row r="54" spans="2:14">
      <c r="B54" s="86" t="s">
        <v>29</v>
      </c>
      <c r="C54" s="120">
        <f>D54/$D$58</f>
        <v>0</v>
      </c>
      <c r="D54" s="135">
        <f>'⏱ Input'!T5</f>
        <v>0</v>
      </c>
      <c r="E54" s="86" t="str">
        <f>IF(C54=0,"",CONCATENATE(B54,", ",TEXT(D54,"[h]")))</f>
        <v/>
      </c>
      <c r="G54" s="123"/>
    </row>
    <row r="55" spans="2:14">
      <c r="B55" s="86" t="s">
        <v>170</v>
      </c>
      <c r="C55" s="120">
        <f t="shared" ref="C55:C58" ca="1" si="8">D55/$D$58</f>
        <v>0</v>
      </c>
      <c r="D55" s="135">
        <f ca="1">IF(C21&lt;D21,D21-C21,0)</f>
        <v>0</v>
      </c>
      <c r="E55" s="120" t="str">
        <f ca="1">IF(C55=0,"",CONCATENATE(B55,", ",TEXT(D55,"[h]")))</f>
        <v/>
      </c>
    </row>
    <row r="56" spans="2:14">
      <c r="B56" s="86" t="s">
        <v>171</v>
      </c>
      <c r="C56" s="120">
        <f t="shared" ca="1" si="8"/>
        <v>0.86042944785276076</v>
      </c>
      <c r="D56" s="135">
        <f ca="1">IF(C21&gt;D21,C21-D21,0)</f>
        <v>11.516609151329238</v>
      </c>
      <c r="E56" s="120" t="str">
        <f ca="1">IF(C56=0,"",CONCATENATE(B56,", ",TEXT(D56,"[h]")))</f>
        <v>Extra Undone, 276</v>
      </c>
    </row>
    <row r="57" spans="2:14">
      <c r="B57" s="86" t="s">
        <v>30</v>
      </c>
      <c r="C57" s="120">
        <f t="shared" ca="1" si="8"/>
        <v>0.13957055214723926</v>
      </c>
      <c r="D57" s="135">
        <f ca="1">D58-D54-D56</f>
        <v>1.8681130708929778</v>
      </c>
      <c r="E57" s="120" t="str">
        <f ca="1">IF(C57=0,"",CONCATENATE(B57,", ",TEXT(D57,"[h]")))</f>
        <v>Undone, 44</v>
      </c>
    </row>
    <row r="58" spans="2:14">
      <c r="B58" s="86" t="s">
        <v>7</v>
      </c>
      <c r="C58" s="120">
        <f t="shared" si="8"/>
        <v>1</v>
      </c>
      <c r="D58" s="135">
        <f>'⏱ Input'!T4</f>
        <v>13.384722222222216</v>
      </c>
      <c r="E58" s="120"/>
    </row>
    <row r="60" spans="2:14">
      <c r="B60" s="119" t="s">
        <v>169</v>
      </c>
      <c r="C60" s="86"/>
      <c r="D60" s="86"/>
      <c r="E60" s="86"/>
    </row>
    <row r="61" spans="2:14">
      <c r="B61" s="86" t="s">
        <v>29</v>
      </c>
      <c r="C61" s="120">
        <f>D61/$D$65</f>
        <v>0</v>
      </c>
      <c r="D61" s="135">
        <f>'⏱ Input'!W5*('📊 Summary'!I10/24)</f>
        <v>0</v>
      </c>
      <c r="E61" s="120" t="str">
        <f>IF(C61=0,"",CONCATENATE(B61,", ",TEXT(D61,"[h]")))</f>
        <v/>
      </c>
    </row>
    <row r="62" spans="2:14">
      <c r="B62" s="86" t="s">
        <v>170</v>
      </c>
      <c r="C62" s="120">
        <f t="shared" ref="C62:C65" ca="1" si="9">D62/$D$65</f>
        <v>0</v>
      </c>
      <c r="D62" s="135">
        <f ca="1">IF(C22&lt;D22,D22-C22,0)</f>
        <v>0</v>
      </c>
      <c r="E62" s="120" t="str">
        <f ca="1">IF(C62=0,"",CONCATENATE(B62,", ",TEXT(D62,"[h]")))</f>
        <v/>
      </c>
    </row>
    <row r="63" spans="2:14">
      <c r="B63" s="86" t="s">
        <v>171</v>
      </c>
      <c r="C63" s="120">
        <f t="shared" ca="1" si="9"/>
        <v>0.86042944785276076</v>
      </c>
      <c r="D63" s="135">
        <f ca="1">IF(C22&gt;D22,C22-D22,0)</f>
        <v>20.793711656441719</v>
      </c>
      <c r="E63" s="120" t="str">
        <f ca="1">IF(C63=0,"",CONCATENATE(B63,", ",TEXT(D63,"[h]")))</f>
        <v>Extra Undone, 499</v>
      </c>
    </row>
    <row r="64" spans="2:14">
      <c r="B64" s="86" t="s">
        <v>30</v>
      </c>
      <c r="C64" s="120">
        <f t="shared" ca="1" si="9"/>
        <v>0.13957055214723926</v>
      </c>
      <c r="D64" s="135">
        <f ca="1">D65-D61-D63</f>
        <v>3.372955010224949</v>
      </c>
      <c r="E64" s="120" t="str">
        <f ca="1">IF(C64=0,"",CONCATENATE(B64,", ",TEXT(D64,"[h]")))</f>
        <v>Undone, 80</v>
      </c>
    </row>
    <row r="65" spans="2:5">
      <c r="B65" s="86" t="s">
        <v>7</v>
      </c>
      <c r="C65" s="120">
        <f t="shared" si="9"/>
        <v>1</v>
      </c>
      <c r="D65" s="135">
        <f>'⏱ Input'!V4*('📊 Summary'!I10/24)</f>
        <v>24.166666666666668</v>
      </c>
      <c r="E65" s="120"/>
    </row>
    <row r="66" spans="2:5">
      <c r="C66" s="133"/>
      <c r="D66" s="134"/>
      <c r="E66" s="133"/>
    </row>
    <row r="67" spans="2:5">
      <c r="B67" s="119" t="s">
        <v>180</v>
      </c>
      <c r="C67" s="86"/>
      <c r="D67" s="86"/>
      <c r="E67" s="86"/>
    </row>
    <row r="68" spans="2:5">
      <c r="B68" s="86" t="s">
        <v>29</v>
      </c>
      <c r="C68" s="120">
        <f>D68/$D$72</f>
        <v>0</v>
      </c>
      <c r="D68" s="135">
        <f>D20</f>
        <v>0</v>
      </c>
      <c r="E68" s="120" t="str">
        <f>IF(C68=0,"",CONCATENATE(B68,", ",TEXT(D68,"[h]")))</f>
        <v/>
      </c>
    </row>
    <row r="69" spans="2:5">
      <c r="B69" s="86" t="s">
        <v>170</v>
      </c>
      <c r="C69" s="120">
        <f t="shared" ref="C69:C72" ca="1" si="10">D69/$D$72</f>
        <v>0</v>
      </c>
      <c r="D69" s="135">
        <f ca="1">IF(C20&lt;D20,D20-C20,0)</f>
        <v>0</v>
      </c>
      <c r="E69" s="120" t="str">
        <f ca="1">IF(C69=0,"",CONCATENATE(B69,", ",TEXT(D69,"[h]")))</f>
        <v/>
      </c>
    </row>
    <row r="70" spans="2:5">
      <c r="B70" s="86" t="s">
        <v>171</v>
      </c>
      <c r="C70" s="120">
        <f t="shared" ca="1" si="10"/>
        <v>0.86042944785276088</v>
      </c>
      <c r="D70" s="135">
        <f ca="1">IF(C20&gt;D20,C20-D20,0)</f>
        <v>32.310320807770957</v>
      </c>
      <c r="E70" s="120" t="str">
        <f ca="1">IF(C70=0,"",CONCATENATE(B70,", ",TEXT(D70,"[h]")))</f>
        <v>Extra Undone, 775</v>
      </c>
    </row>
    <row r="71" spans="2:5">
      <c r="B71" s="86" t="s">
        <v>30</v>
      </c>
      <c r="C71" s="120">
        <f t="shared" ca="1" si="10"/>
        <v>0.13957055214723918</v>
      </c>
      <c r="D71" s="135">
        <f ca="1">D72-D68-D70</f>
        <v>5.2410680811179233</v>
      </c>
      <c r="E71" s="120" t="str">
        <f ca="1">IF(C71=0,"",CONCATENATE(B71,", ",TEXT(D71,"[h]")))</f>
        <v>Undone, 125</v>
      </c>
    </row>
    <row r="72" spans="2:5">
      <c r="B72" s="86" t="s">
        <v>7</v>
      </c>
      <c r="C72" s="120">
        <f t="shared" si="10"/>
        <v>1</v>
      </c>
      <c r="D72" s="135">
        <f t="shared" ref="D72" si="11">D58+D65</f>
        <v>37.55138888888888</v>
      </c>
      <c r="E72" s="120"/>
    </row>
    <row r="73" spans="2:5">
      <c r="C73" s="133"/>
      <c r="D73" s="134"/>
      <c r="E73" s="133"/>
    </row>
    <row r="74" spans="2:5">
      <c r="C74" s="133"/>
      <c r="D74" s="134"/>
      <c r="E74" s="133"/>
    </row>
    <row r="75" spans="2:5">
      <c r="C75" s="133"/>
      <c r="D75" s="134"/>
      <c r="E75" s="133"/>
    </row>
    <row r="77" spans="2:5" ht="15">
      <c r="B77" s="124" t="s">
        <v>163</v>
      </c>
      <c r="C77" s="87" t="s">
        <v>281</v>
      </c>
      <c r="D77"/>
    </row>
    <row r="78" spans="2:5" ht="15">
      <c r="B78" s="125" t="s">
        <v>6</v>
      </c>
      <c r="C78" s="327">
        <v>116</v>
      </c>
      <c r="D78"/>
    </row>
    <row r="79" spans="2:5" ht="15">
      <c r="B79" s="125" t="s">
        <v>164</v>
      </c>
      <c r="C79" s="327">
        <v>116</v>
      </c>
      <c r="D79"/>
    </row>
    <row r="80" spans="2:5" ht="15">
      <c r="B80"/>
      <c r="C80"/>
    </row>
    <row r="82" spans="2:4">
      <c r="B82" s="124" t="s">
        <v>163</v>
      </c>
      <c r="C82" s="87" t="s">
        <v>281</v>
      </c>
    </row>
    <row r="83" spans="2:4">
      <c r="B83" s="125" t="s">
        <v>6</v>
      </c>
      <c r="C83" s="327">
        <v>116</v>
      </c>
    </row>
    <row r="84" spans="2:4">
      <c r="B84" s="125" t="s">
        <v>164</v>
      </c>
      <c r="C84" s="327">
        <v>116</v>
      </c>
    </row>
    <row r="85" spans="2:4" ht="15">
      <c r="B85"/>
      <c r="C85"/>
    </row>
    <row r="87" spans="2:4">
      <c r="B87" s="124" t="s">
        <v>163</v>
      </c>
      <c r="C87" s="87" t="s">
        <v>281</v>
      </c>
    </row>
    <row r="88" spans="2:4">
      <c r="B88" s="125" t="s">
        <v>6</v>
      </c>
      <c r="C88" s="327">
        <v>116</v>
      </c>
    </row>
    <row r="89" spans="2:4">
      <c r="B89" s="125" t="s">
        <v>164</v>
      </c>
      <c r="C89" s="327">
        <v>116</v>
      </c>
    </row>
    <row r="90" spans="2:4" ht="15">
      <c r="B90"/>
      <c r="C90"/>
    </row>
    <row r="92" spans="2:4" ht="15">
      <c r="B92" s="124" t="s">
        <v>163</v>
      </c>
      <c r="C92" s="87" t="s">
        <v>281</v>
      </c>
      <c r="D92"/>
    </row>
    <row r="93" spans="2:4" ht="15">
      <c r="B93" s="125" t="s">
        <v>6</v>
      </c>
      <c r="C93" s="327">
        <v>116</v>
      </c>
      <c r="D93"/>
    </row>
    <row r="94" spans="2:4" ht="15">
      <c r="B94" s="125" t="s">
        <v>164</v>
      </c>
      <c r="C94" s="327">
        <v>116</v>
      </c>
      <c r="D94"/>
    </row>
    <row r="95" spans="2:4" ht="15">
      <c r="B95"/>
      <c r="C95"/>
      <c r="D95"/>
    </row>
    <row r="97" spans="2:3">
      <c r="B97" s="124" t="s">
        <v>163</v>
      </c>
      <c r="C97" s="87" t="s">
        <v>281</v>
      </c>
    </row>
    <row r="98" spans="2:3">
      <c r="B98" s="125" t="s">
        <v>6</v>
      </c>
      <c r="C98" s="327">
        <v>116</v>
      </c>
    </row>
    <row r="99" spans="2:3">
      <c r="B99" s="125" t="s">
        <v>164</v>
      </c>
      <c r="C99" s="327">
        <v>116</v>
      </c>
    </row>
    <row r="100" spans="2:3" ht="15">
      <c r="B100"/>
      <c r="C100"/>
    </row>
  </sheetData>
  <mergeCells count="2">
    <mergeCell ref="B14:B15"/>
    <mergeCell ref="C14:E14"/>
  </mergeCells>
  <conditionalFormatting sqref="E16:E44">
    <cfRule type="cellIs" dxfId="3" priority="19" operator="lessThan">
      <formula>0</formula>
    </cfRule>
    <cfRule type="cellIs" dxfId="2" priority="20" operator="greaterThanOrEqual">
      <formula>0.0001</formula>
    </cfRule>
  </conditionalFormatting>
  <conditionalFormatting sqref="G16:G44">
    <cfRule type="cellIs" dxfId="1" priority="1" operator="lessThan">
      <formula>0</formula>
    </cfRule>
    <cfRule type="cellIs" dxfId="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2022-06-28T06:51:26Z</cp:lastPrinted>
  <dcterms:created xsi:type="dcterms:W3CDTF">2017-08-10T18:49:10Z</dcterms:created>
  <dcterms:modified xsi:type="dcterms:W3CDTF">2024-07-25T11:58:04Z</dcterms:modified>
</cp:coreProperties>
</file>